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" yWindow="8930" windowWidth="28830" windowHeight="4500"/>
  </bookViews>
  <sheets>
    <sheet name="Power Loss" sheetId="1" r:id="rId1"/>
    <sheet name="Efficiency Summary" sheetId="2" r:id="rId2"/>
    <sheet name="Compensation" sheetId="3" r:id="rId3"/>
  </sheets>
  <definedNames>
    <definedName name="_Cap1">Compensation!$M$30</definedName>
    <definedName name="_cap2">Compensation!$M$31</definedName>
    <definedName name="_Cfb1">Compensation!$C$33</definedName>
    <definedName name="_Cfb2">Compensation!$C$34</definedName>
    <definedName name="_res1">Compensation!$M$29</definedName>
    <definedName name="_Rfb1">Compensation!$C$31</definedName>
    <definedName name="_Rfb2">Compensation!$C$32</definedName>
    <definedName name="Cap">'Power Loss'!$B$32</definedName>
    <definedName name="D">'Power Loss'!$F$19</definedName>
    <definedName name="DCR">'Power Loss'!$B$28</definedName>
    <definedName name="Dmax">Compensation!$M$20</definedName>
    <definedName name="EA_BW">Compensation!$M$26</definedName>
    <definedName name="EA_DC">Compensation!$M$23</definedName>
    <definedName name="Efficiency">'Power Loss'!$B$96</definedName>
    <definedName name="ESR">'Power Loss'!$B$33</definedName>
    <definedName name="F0">Compensation!$C$26</definedName>
    <definedName name="Fc">Compensation!$M$28</definedName>
    <definedName name="Fm">Compensation!$A$43</definedName>
    <definedName name="Fs">'Power Loss'!$B$18</definedName>
    <definedName name="Fstart">Compensation!$C$55</definedName>
    <definedName name="Fstep">Compensation!$C$57</definedName>
    <definedName name="Fstop">Compensation!$C$56</definedName>
    <definedName name="Gdo">Compensation!$C$24</definedName>
    <definedName name="Il_rms">'Power Loss'!$F$23</definedName>
    <definedName name="Imax">'Efficiency Summary'!$B$10</definedName>
    <definedName name="Imin">'Efficiency Summary'!$B$9</definedName>
    <definedName name="Iout">'Power Loss'!$B$21</definedName>
    <definedName name="Irip">'Power Loss'!$F$26</definedName>
    <definedName name="Iu_rms">'Power Loss'!$F$22</definedName>
    <definedName name="LIR">'Power Loss'!$B$24</definedName>
    <definedName name="Lout">'Power Loss'!$B$27</definedName>
    <definedName name="ncap">'Power Loss'!$B$31</definedName>
    <definedName name="Q">Compensation!$C$27</definedName>
    <definedName name="Qn">Compensation!$A$41</definedName>
    <definedName name="Roerr">Compensation!$M$24</definedName>
    <definedName name="Ron_l">'Power Loss'!$B$63</definedName>
    <definedName name="Ron_u">'Power Loss'!$B$46</definedName>
    <definedName name="Rout">'Power Loss'!$F$20</definedName>
    <definedName name="RT">Compensation!$M$20</definedName>
    <definedName name="Se">Compensation!$M$21</definedName>
    <definedName name="Sn">Compensation!$M$22</definedName>
    <definedName name="Step">Compensation!$C$58</definedName>
    <definedName name="Tloss">'Power Loss'!$B$95</definedName>
    <definedName name="VFB">Compensation!$M$25</definedName>
    <definedName name="Vin">'Power Loss'!$B$19</definedName>
    <definedName name="Vout">'Power Loss'!$B$20</definedName>
    <definedName name="wn">Compensation!$A$40</definedName>
  </definedNames>
  <calcPr calcId="145621"/>
</workbook>
</file>

<file path=xl/calcChain.xml><?xml version="1.0" encoding="utf-8"?>
<calcChain xmlns="http://schemas.openxmlformats.org/spreadsheetml/2006/main">
  <c r="F35" i="1" l="1"/>
  <c r="F34" i="1"/>
  <c r="A22" i="1"/>
  <c r="G29" i="1" l="1"/>
  <c r="B39" i="1"/>
  <c r="B63" i="1" s="1"/>
  <c r="B36" i="1"/>
  <c r="B46" i="1" s="1"/>
  <c r="A20" i="1"/>
  <c r="A19" i="1"/>
  <c r="A27" i="1" l="1"/>
  <c r="H37" i="1" l="1"/>
  <c r="F37" i="1" s="1"/>
  <c r="H42" i="1"/>
  <c r="D19" i="1" l="1"/>
  <c r="F36" i="1" l="1"/>
  <c r="C44" i="2" l="1"/>
  <c r="A13" i="2"/>
  <c r="D72" i="2" l="1"/>
  <c r="D44" i="2"/>
  <c r="E72" i="2" l="1"/>
  <c r="H41" i="2" s="1"/>
  <c r="E44" i="2"/>
  <c r="G32" i="1"/>
  <c r="G31" i="1"/>
  <c r="F44" i="2" l="1"/>
  <c r="H13" i="2"/>
  <c r="G44" i="2"/>
  <c r="E32" i="3"/>
  <c r="M22" i="3" l="1"/>
  <c r="C58" i="3" l="1"/>
  <c r="B80" i="3" s="1"/>
  <c r="C80" i="3" s="1"/>
  <c r="A41" i="3"/>
  <c r="M33" i="3"/>
  <c r="M32" i="3"/>
  <c r="C31" i="3"/>
  <c r="C28" i="3"/>
  <c r="C26" i="3"/>
  <c r="C25" i="3"/>
  <c r="B10" i="2"/>
  <c r="B80" i="1"/>
  <c r="B83" i="1" s="1"/>
  <c r="B79" i="1"/>
  <c r="B74" i="1"/>
  <c r="B58" i="1"/>
  <c r="F26" i="1"/>
  <c r="F20" i="1"/>
  <c r="J263" i="3" s="1"/>
  <c r="E9" i="2" l="1"/>
  <c r="C72" i="2"/>
  <c r="C68" i="2"/>
  <c r="C64" i="2"/>
  <c r="C60" i="2"/>
  <c r="C56" i="2"/>
  <c r="C52" i="2"/>
  <c r="C48" i="2"/>
  <c r="A38" i="2"/>
  <c r="A34" i="2"/>
  <c r="A30" i="2"/>
  <c r="A26" i="2"/>
  <c r="A22" i="2"/>
  <c r="A18" i="2"/>
  <c r="A49" i="2" s="1"/>
  <c r="B49" i="2" s="1"/>
  <c r="A14" i="2"/>
  <c r="A45" i="2" s="1"/>
  <c r="B45" i="2" s="1"/>
  <c r="C71" i="2"/>
  <c r="C67" i="2"/>
  <c r="C63" i="2"/>
  <c r="C59" i="2"/>
  <c r="C55" i="2"/>
  <c r="C51" i="2"/>
  <c r="C47" i="2"/>
  <c r="A41" i="2"/>
  <c r="A72" i="2" s="1"/>
  <c r="B72" i="2" s="1"/>
  <c r="A37" i="2"/>
  <c r="A33" i="2"/>
  <c r="A29" i="2"/>
  <c r="A25" i="2"/>
  <c r="A56" i="2" s="1"/>
  <c r="B56" i="2" s="1"/>
  <c r="C70" i="2"/>
  <c r="C66" i="2"/>
  <c r="C62" i="2"/>
  <c r="C58" i="2"/>
  <c r="C54" i="2"/>
  <c r="C50" i="2"/>
  <c r="C46" i="2"/>
  <c r="A40" i="2"/>
  <c r="A71" i="2" s="1"/>
  <c r="B71" i="2" s="1"/>
  <c r="A36" i="2"/>
  <c r="A32" i="2"/>
  <c r="A28" i="2"/>
  <c r="A59" i="2" s="1"/>
  <c r="B59" i="2" s="1"/>
  <c r="A24" i="2"/>
  <c r="A55" i="2" s="1"/>
  <c r="B55" i="2" s="1"/>
  <c r="A20" i="2"/>
  <c r="A16" i="2"/>
  <c r="C69" i="2"/>
  <c r="C65" i="2"/>
  <c r="C61" i="2"/>
  <c r="C57" i="2"/>
  <c r="C53" i="2"/>
  <c r="C49" i="2"/>
  <c r="C45" i="2"/>
  <c r="A39" i="2"/>
  <c r="A35" i="2"/>
  <c r="A66" i="2" s="1"/>
  <c r="B66" i="2" s="1"/>
  <c r="A31" i="2"/>
  <c r="A62" i="2" s="1"/>
  <c r="B62" i="2" s="1"/>
  <c r="A27" i="2"/>
  <c r="A23" i="2"/>
  <c r="A19" i="2"/>
  <c r="A50" i="2" s="1"/>
  <c r="B50" i="2" s="1"/>
  <c r="A15" i="2"/>
  <c r="A46" i="2" s="1"/>
  <c r="B46" i="2" s="1"/>
  <c r="A21" i="2"/>
  <c r="A17" i="2"/>
  <c r="A60" i="2"/>
  <c r="B60" i="2" s="1"/>
  <c r="A44" i="2"/>
  <c r="B44" i="2" s="1"/>
  <c r="A58" i="2"/>
  <c r="B58" i="2" s="1"/>
  <c r="A40" i="3"/>
  <c r="E28" i="1"/>
  <c r="R73" i="3"/>
  <c r="R151" i="3"/>
  <c r="B89" i="1"/>
  <c r="K31" i="1" s="1"/>
  <c r="F27" i="1"/>
  <c r="R89" i="3"/>
  <c r="J173" i="3"/>
  <c r="J109" i="3"/>
  <c r="J205" i="3"/>
  <c r="R130" i="3"/>
  <c r="J237" i="3"/>
  <c r="R65" i="3"/>
  <c r="R81" i="3"/>
  <c r="R98" i="3"/>
  <c r="R119" i="3"/>
  <c r="J141" i="3"/>
  <c r="R162" i="3"/>
  <c r="J189" i="3"/>
  <c r="J221" i="3"/>
  <c r="R69" i="3"/>
  <c r="R85" i="3"/>
  <c r="R103" i="3"/>
  <c r="J125" i="3"/>
  <c r="R146" i="3"/>
  <c r="R167" i="3"/>
  <c r="J197" i="3"/>
  <c r="J229" i="3"/>
  <c r="R77" i="3"/>
  <c r="R93" i="3"/>
  <c r="R114" i="3"/>
  <c r="R135" i="3"/>
  <c r="J157" i="3"/>
  <c r="J181" i="3"/>
  <c r="J213" i="3"/>
  <c r="J249" i="3"/>
  <c r="J66" i="3"/>
  <c r="J74" i="3"/>
  <c r="J82" i="3"/>
  <c r="J90" i="3"/>
  <c r="J99" i="3"/>
  <c r="R109" i="3"/>
  <c r="R120" i="3"/>
  <c r="J131" i="3"/>
  <c r="R141" i="3"/>
  <c r="J147" i="3"/>
  <c r="R157" i="3"/>
  <c r="R168" i="3"/>
  <c r="R189" i="3"/>
  <c r="R213" i="3"/>
  <c r="C24" i="3"/>
  <c r="R67" i="3"/>
  <c r="R71" i="3"/>
  <c r="R75" i="3"/>
  <c r="R79" i="3"/>
  <c r="R83" i="3"/>
  <c r="R87" i="3"/>
  <c r="R91" i="3"/>
  <c r="R95" i="3"/>
  <c r="J101" i="3"/>
  <c r="R106" i="3"/>
  <c r="R111" i="3"/>
  <c r="J117" i="3"/>
  <c r="R122" i="3"/>
  <c r="R127" i="3"/>
  <c r="J133" i="3"/>
  <c r="R138" i="3"/>
  <c r="R143" i="3"/>
  <c r="J149" i="3"/>
  <c r="R154" i="3"/>
  <c r="R159" i="3"/>
  <c r="J165" i="3"/>
  <c r="R170" i="3"/>
  <c r="J177" i="3"/>
  <c r="J185" i="3"/>
  <c r="J193" i="3"/>
  <c r="J201" i="3"/>
  <c r="J209" i="3"/>
  <c r="J217" i="3"/>
  <c r="J225" i="3"/>
  <c r="J233" i="3"/>
  <c r="J241" i="3"/>
  <c r="J257" i="3"/>
  <c r="J70" i="3"/>
  <c r="J78" i="3"/>
  <c r="J86" i="3"/>
  <c r="J94" i="3"/>
  <c r="R104" i="3"/>
  <c r="J115" i="3"/>
  <c r="R125" i="3"/>
  <c r="R136" i="3"/>
  <c r="R152" i="3"/>
  <c r="J163" i="3"/>
  <c r="R173" i="3"/>
  <c r="R181" i="3"/>
  <c r="R197" i="3"/>
  <c r="R205" i="3"/>
  <c r="R221" i="3"/>
  <c r="R229" i="3"/>
  <c r="R237" i="3"/>
  <c r="J253" i="3"/>
  <c r="J64" i="3"/>
  <c r="J68" i="3"/>
  <c r="J72" i="3"/>
  <c r="J76" i="3"/>
  <c r="J80" i="3"/>
  <c r="J84" i="3"/>
  <c r="J88" i="3"/>
  <c r="J92" i="3"/>
  <c r="R96" i="3"/>
  <c r="R101" i="3"/>
  <c r="J107" i="3"/>
  <c r="R112" i="3"/>
  <c r="R117" i="3"/>
  <c r="J123" i="3"/>
  <c r="R128" i="3"/>
  <c r="R133" i="3"/>
  <c r="J139" i="3"/>
  <c r="R144" i="3"/>
  <c r="R149" i="3"/>
  <c r="J155" i="3"/>
  <c r="R160" i="3"/>
  <c r="R165" i="3"/>
  <c r="J171" i="3"/>
  <c r="R177" i="3"/>
  <c r="R185" i="3"/>
  <c r="R193" i="3"/>
  <c r="R201" i="3"/>
  <c r="R209" i="3"/>
  <c r="R217" i="3"/>
  <c r="R225" i="3"/>
  <c r="R233" i="3"/>
  <c r="J245" i="3"/>
  <c r="J261" i="3"/>
  <c r="R241" i="3"/>
  <c r="R245" i="3"/>
  <c r="R249" i="3"/>
  <c r="R253" i="3"/>
  <c r="R257" i="3"/>
  <c r="R261" i="3"/>
  <c r="R64" i="3"/>
  <c r="R66" i="3"/>
  <c r="R68" i="3"/>
  <c r="R70" i="3"/>
  <c r="R72" i="3"/>
  <c r="R74" i="3"/>
  <c r="R76" i="3"/>
  <c r="R78" i="3"/>
  <c r="R80" i="3"/>
  <c r="R82" i="3"/>
  <c r="R84" i="3"/>
  <c r="R86" i="3"/>
  <c r="R88" i="3"/>
  <c r="R90" i="3"/>
  <c r="R92" i="3"/>
  <c r="R94" i="3"/>
  <c r="J97" i="3"/>
  <c r="R99" i="3"/>
  <c r="R102" i="3"/>
  <c r="J105" i="3"/>
  <c r="R107" i="3"/>
  <c r="R110" i="3"/>
  <c r="J113" i="3"/>
  <c r="R115" i="3"/>
  <c r="R118" i="3"/>
  <c r="J121" i="3"/>
  <c r="R123" i="3"/>
  <c r="R126" i="3"/>
  <c r="J129" i="3"/>
  <c r="R131" i="3"/>
  <c r="R134" i="3"/>
  <c r="J137" i="3"/>
  <c r="R139" i="3"/>
  <c r="R142" i="3"/>
  <c r="J145" i="3"/>
  <c r="R147" i="3"/>
  <c r="R150" i="3"/>
  <c r="J153" i="3"/>
  <c r="R155" i="3"/>
  <c r="R158" i="3"/>
  <c r="J161" i="3"/>
  <c r="R163" i="3"/>
  <c r="R166" i="3"/>
  <c r="J169" i="3"/>
  <c r="R171" i="3"/>
  <c r="J175" i="3"/>
  <c r="J179" i="3"/>
  <c r="J183" i="3"/>
  <c r="J187" i="3"/>
  <c r="J191" i="3"/>
  <c r="J195" i="3"/>
  <c r="J199" i="3"/>
  <c r="J203" i="3"/>
  <c r="J207" i="3"/>
  <c r="J211" i="3"/>
  <c r="J215" i="3"/>
  <c r="J219" i="3"/>
  <c r="J223" i="3"/>
  <c r="J227" i="3"/>
  <c r="J231" i="3"/>
  <c r="J235" i="3"/>
  <c r="J239" i="3"/>
  <c r="J243" i="3"/>
  <c r="J247" i="3"/>
  <c r="J251" i="3"/>
  <c r="J255" i="3"/>
  <c r="J259" i="3"/>
  <c r="R264" i="3"/>
  <c r="R262" i="3"/>
  <c r="R260" i="3"/>
  <c r="R258" i="3"/>
  <c r="R256" i="3"/>
  <c r="R254" i="3"/>
  <c r="R252" i="3"/>
  <c r="R250" i="3"/>
  <c r="R248" i="3"/>
  <c r="R246" i="3"/>
  <c r="R244" i="3"/>
  <c r="R242" i="3"/>
  <c r="R240" i="3"/>
  <c r="R238" i="3"/>
  <c r="R236" i="3"/>
  <c r="R234" i="3"/>
  <c r="R232" i="3"/>
  <c r="R230" i="3"/>
  <c r="R228" i="3"/>
  <c r="R226" i="3"/>
  <c r="R224" i="3"/>
  <c r="R222" i="3"/>
  <c r="R220" i="3"/>
  <c r="R218" i="3"/>
  <c r="R216" i="3"/>
  <c r="R214" i="3"/>
  <c r="R212" i="3"/>
  <c r="R210" i="3"/>
  <c r="R208" i="3"/>
  <c r="R206" i="3"/>
  <c r="R204" i="3"/>
  <c r="R202" i="3"/>
  <c r="R200" i="3"/>
  <c r="R198" i="3"/>
  <c r="R196" i="3"/>
  <c r="R194" i="3"/>
  <c r="R192" i="3"/>
  <c r="R190" i="3"/>
  <c r="R188" i="3"/>
  <c r="R186" i="3"/>
  <c r="R184" i="3"/>
  <c r="R182" i="3"/>
  <c r="R180" i="3"/>
  <c r="R178" i="3"/>
  <c r="R176" i="3"/>
  <c r="R174" i="3"/>
  <c r="J264" i="3"/>
  <c r="J262" i="3"/>
  <c r="J260" i="3"/>
  <c r="J258" i="3"/>
  <c r="J256" i="3"/>
  <c r="J254" i="3"/>
  <c r="J252" i="3"/>
  <c r="J250" i="3"/>
  <c r="J248" i="3"/>
  <c r="J246" i="3"/>
  <c r="J244" i="3"/>
  <c r="J242" i="3"/>
  <c r="J240" i="3"/>
  <c r="J238" i="3"/>
  <c r="J236" i="3"/>
  <c r="J234" i="3"/>
  <c r="J232" i="3"/>
  <c r="J230" i="3"/>
  <c r="J228" i="3"/>
  <c r="J226" i="3"/>
  <c r="J224" i="3"/>
  <c r="J222" i="3"/>
  <c r="J220" i="3"/>
  <c r="J218" i="3"/>
  <c r="J216" i="3"/>
  <c r="J214" i="3"/>
  <c r="J212" i="3"/>
  <c r="J210" i="3"/>
  <c r="J208" i="3"/>
  <c r="J206" i="3"/>
  <c r="J204" i="3"/>
  <c r="J202" i="3"/>
  <c r="J200" i="3"/>
  <c r="J198" i="3"/>
  <c r="J196" i="3"/>
  <c r="J194" i="3"/>
  <c r="J192" i="3"/>
  <c r="J190" i="3"/>
  <c r="J188" i="3"/>
  <c r="J186" i="3"/>
  <c r="J184" i="3"/>
  <c r="J182" i="3"/>
  <c r="J180" i="3"/>
  <c r="J178" i="3"/>
  <c r="J176" i="3"/>
  <c r="J174" i="3"/>
  <c r="J172" i="3"/>
  <c r="J170" i="3"/>
  <c r="J168" i="3"/>
  <c r="J166" i="3"/>
  <c r="J164" i="3"/>
  <c r="J162" i="3"/>
  <c r="J160" i="3"/>
  <c r="J158" i="3"/>
  <c r="J156" i="3"/>
  <c r="J154" i="3"/>
  <c r="J152" i="3"/>
  <c r="J150" i="3"/>
  <c r="J148" i="3"/>
  <c r="J146" i="3"/>
  <c r="J144" i="3"/>
  <c r="J142" i="3"/>
  <c r="J140" i="3"/>
  <c r="J138" i="3"/>
  <c r="J136" i="3"/>
  <c r="J134" i="3"/>
  <c r="J132" i="3"/>
  <c r="J130" i="3"/>
  <c r="J128" i="3"/>
  <c r="J126" i="3"/>
  <c r="J124" i="3"/>
  <c r="J122" i="3"/>
  <c r="J120" i="3"/>
  <c r="J118" i="3"/>
  <c r="J116" i="3"/>
  <c r="J114" i="3"/>
  <c r="J112" i="3"/>
  <c r="J110" i="3"/>
  <c r="J108" i="3"/>
  <c r="J106" i="3"/>
  <c r="J104" i="3"/>
  <c r="J102" i="3"/>
  <c r="J100" i="3"/>
  <c r="J98" i="3"/>
  <c r="J96" i="3"/>
  <c r="J65" i="3"/>
  <c r="J67" i="3"/>
  <c r="J69" i="3"/>
  <c r="J71" i="3"/>
  <c r="J73" i="3"/>
  <c r="J75" i="3"/>
  <c r="J77" i="3"/>
  <c r="J79" i="3"/>
  <c r="J81" i="3"/>
  <c r="J83" i="3"/>
  <c r="J85" i="3"/>
  <c r="J87" i="3"/>
  <c r="J89" i="3"/>
  <c r="J91" i="3"/>
  <c r="J93" i="3"/>
  <c r="J95" i="3"/>
  <c r="R97" i="3"/>
  <c r="R100" i="3"/>
  <c r="J103" i="3"/>
  <c r="R105" i="3"/>
  <c r="R108" i="3"/>
  <c r="J111" i="3"/>
  <c r="R113" i="3"/>
  <c r="R116" i="3"/>
  <c r="J119" i="3"/>
  <c r="R121" i="3"/>
  <c r="R124" i="3"/>
  <c r="J127" i="3"/>
  <c r="R129" i="3"/>
  <c r="R132" i="3"/>
  <c r="J135" i="3"/>
  <c r="R137" i="3"/>
  <c r="R140" i="3"/>
  <c r="J143" i="3"/>
  <c r="R145" i="3"/>
  <c r="R148" i="3"/>
  <c r="J151" i="3"/>
  <c r="R153" i="3"/>
  <c r="R156" i="3"/>
  <c r="J159" i="3"/>
  <c r="R161" i="3"/>
  <c r="R164" i="3"/>
  <c r="J167" i="3"/>
  <c r="R169" i="3"/>
  <c r="R172" i="3"/>
  <c r="R175" i="3"/>
  <c r="R179" i="3"/>
  <c r="R183" i="3"/>
  <c r="R187" i="3"/>
  <c r="R191" i="3"/>
  <c r="R195" i="3"/>
  <c r="R199" i="3"/>
  <c r="R203" i="3"/>
  <c r="R207" i="3"/>
  <c r="R211" i="3"/>
  <c r="R215" i="3"/>
  <c r="R219" i="3"/>
  <c r="R223" i="3"/>
  <c r="R227" i="3"/>
  <c r="R231" i="3"/>
  <c r="R235" i="3"/>
  <c r="R239" i="3"/>
  <c r="R243" i="3"/>
  <c r="R247" i="3"/>
  <c r="R251" i="3"/>
  <c r="R255" i="3"/>
  <c r="R259" i="3"/>
  <c r="R263" i="3"/>
  <c r="B84" i="1"/>
  <c r="B67" i="1"/>
  <c r="B68" i="1"/>
  <c r="F19" i="1"/>
  <c r="B26" i="1" s="1"/>
  <c r="B51" i="1"/>
  <c r="B50" i="1"/>
  <c r="B82" i="1"/>
  <c r="B57" i="1"/>
  <c r="B73" i="1"/>
  <c r="AQ80" i="3"/>
  <c r="AR80" i="3"/>
  <c r="AL80" i="3"/>
  <c r="AM80" i="3" s="1"/>
  <c r="AN80" i="3" s="1"/>
  <c r="AK80" i="3"/>
  <c r="AS80" i="3"/>
  <c r="S80" i="3"/>
  <c r="K80" i="3"/>
  <c r="B78" i="3"/>
  <c r="C78" i="3" s="1"/>
  <c r="M23" i="3"/>
  <c r="A43" i="3" s="1"/>
  <c r="B264" i="3"/>
  <c r="C264" i="3" s="1"/>
  <c r="B262" i="3"/>
  <c r="C262" i="3" s="1"/>
  <c r="B263" i="3"/>
  <c r="C263" i="3" s="1"/>
  <c r="AJ263" i="3" s="1"/>
  <c r="B261" i="3"/>
  <c r="C261" i="3" s="1"/>
  <c r="B259" i="3"/>
  <c r="C259" i="3" s="1"/>
  <c r="B256" i="3"/>
  <c r="C256" i="3" s="1"/>
  <c r="B258" i="3"/>
  <c r="C258" i="3" s="1"/>
  <c r="B253" i="3"/>
  <c r="C253" i="3" s="1"/>
  <c r="B251" i="3"/>
  <c r="C251" i="3" s="1"/>
  <c r="B249" i="3"/>
  <c r="C249" i="3" s="1"/>
  <c r="AJ249" i="3" s="1"/>
  <c r="B260" i="3"/>
  <c r="C260" i="3" s="1"/>
  <c r="B257" i="3"/>
  <c r="C257" i="3" s="1"/>
  <c r="AJ257" i="3" s="1"/>
  <c r="B255" i="3"/>
  <c r="C255" i="3" s="1"/>
  <c r="AJ255" i="3" s="1"/>
  <c r="B254" i="3"/>
  <c r="C254" i="3" s="1"/>
  <c r="B246" i="3"/>
  <c r="C246" i="3" s="1"/>
  <c r="AJ246" i="3" s="1"/>
  <c r="B244" i="3"/>
  <c r="C244" i="3" s="1"/>
  <c r="B242" i="3"/>
  <c r="C242" i="3" s="1"/>
  <c r="B240" i="3"/>
  <c r="C240" i="3" s="1"/>
  <c r="AJ240" i="3" s="1"/>
  <c r="B238" i="3"/>
  <c r="C238" i="3" s="1"/>
  <c r="AJ238" i="3" s="1"/>
  <c r="B236" i="3"/>
  <c r="C236" i="3" s="1"/>
  <c r="B250" i="3"/>
  <c r="C250" i="3" s="1"/>
  <c r="B248" i="3"/>
  <c r="C248" i="3" s="1"/>
  <c r="B235" i="3"/>
  <c r="C235" i="3" s="1"/>
  <c r="B233" i="3"/>
  <c r="C233" i="3" s="1"/>
  <c r="B231" i="3"/>
  <c r="C231" i="3" s="1"/>
  <c r="B229" i="3"/>
  <c r="C229" i="3" s="1"/>
  <c r="B227" i="3"/>
  <c r="C227" i="3" s="1"/>
  <c r="B225" i="3"/>
  <c r="C225" i="3" s="1"/>
  <c r="B223" i="3"/>
  <c r="C223" i="3" s="1"/>
  <c r="B221" i="3"/>
  <c r="C221" i="3" s="1"/>
  <c r="B219" i="3"/>
  <c r="C219" i="3" s="1"/>
  <c r="B247" i="3"/>
  <c r="C247" i="3" s="1"/>
  <c r="B245" i="3"/>
  <c r="C245" i="3" s="1"/>
  <c r="B243" i="3"/>
  <c r="C243" i="3" s="1"/>
  <c r="B252" i="3"/>
  <c r="C252" i="3" s="1"/>
  <c r="B239" i="3"/>
  <c r="C239" i="3" s="1"/>
  <c r="B237" i="3"/>
  <c r="C237" i="3" s="1"/>
  <c r="B234" i="3"/>
  <c r="C234" i="3" s="1"/>
  <c r="B232" i="3"/>
  <c r="C232" i="3" s="1"/>
  <c r="B230" i="3"/>
  <c r="C230" i="3" s="1"/>
  <c r="B228" i="3"/>
  <c r="C228" i="3" s="1"/>
  <c r="B218" i="3"/>
  <c r="C218" i="3" s="1"/>
  <c r="B216" i="3"/>
  <c r="C216" i="3" s="1"/>
  <c r="AJ216" i="3" s="1"/>
  <c r="B226" i="3"/>
  <c r="C226" i="3" s="1"/>
  <c r="B224" i="3"/>
  <c r="C224" i="3" s="1"/>
  <c r="B222" i="3"/>
  <c r="C222" i="3" s="1"/>
  <c r="AJ222" i="3" s="1"/>
  <c r="B220" i="3"/>
  <c r="C220" i="3" s="1"/>
  <c r="B214" i="3"/>
  <c r="C214" i="3" s="1"/>
  <c r="B212" i="3"/>
  <c r="C212" i="3" s="1"/>
  <c r="B210" i="3"/>
  <c r="C210" i="3" s="1"/>
  <c r="B208" i="3"/>
  <c r="C208" i="3" s="1"/>
  <c r="B206" i="3"/>
  <c r="C206" i="3" s="1"/>
  <c r="B215" i="3"/>
  <c r="C215" i="3" s="1"/>
  <c r="AJ215" i="3" s="1"/>
  <c r="B217" i="3"/>
  <c r="C217" i="3" s="1"/>
  <c r="AJ217" i="3" s="1"/>
  <c r="B211" i="3"/>
  <c r="C211" i="3" s="1"/>
  <c r="B205" i="3"/>
  <c r="C205" i="3" s="1"/>
  <c r="AJ205" i="3" s="1"/>
  <c r="B203" i="3"/>
  <c r="C203" i="3" s="1"/>
  <c r="B201" i="3"/>
  <c r="C201" i="3" s="1"/>
  <c r="AJ201" i="3" s="1"/>
  <c r="B199" i="3"/>
  <c r="C199" i="3" s="1"/>
  <c r="B197" i="3"/>
  <c r="C197" i="3" s="1"/>
  <c r="AJ197" i="3" s="1"/>
  <c r="B195" i="3"/>
  <c r="C195" i="3" s="1"/>
  <c r="AJ195" i="3" s="1"/>
  <c r="B193" i="3"/>
  <c r="C193" i="3" s="1"/>
  <c r="AJ193" i="3" s="1"/>
  <c r="B191" i="3"/>
  <c r="C191" i="3" s="1"/>
  <c r="B189" i="3"/>
  <c r="C189" i="3" s="1"/>
  <c r="B241" i="3"/>
  <c r="C241" i="3" s="1"/>
  <c r="B213" i="3"/>
  <c r="C213" i="3" s="1"/>
  <c r="AJ213" i="3" s="1"/>
  <c r="B209" i="3"/>
  <c r="C209" i="3" s="1"/>
  <c r="B204" i="3"/>
  <c r="C204" i="3" s="1"/>
  <c r="B202" i="3"/>
  <c r="C202" i="3" s="1"/>
  <c r="B207" i="3"/>
  <c r="C207" i="3" s="1"/>
  <c r="AJ207" i="3" s="1"/>
  <c r="B200" i="3"/>
  <c r="C200" i="3" s="1"/>
  <c r="AJ200" i="3" s="1"/>
  <c r="B198" i="3"/>
  <c r="C198" i="3" s="1"/>
  <c r="B196" i="3"/>
  <c r="C196" i="3" s="1"/>
  <c r="B186" i="3"/>
  <c r="C186" i="3" s="1"/>
  <c r="AJ186" i="3" s="1"/>
  <c r="B184" i="3"/>
  <c r="C184" i="3" s="1"/>
  <c r="AJ184" i="3" s="1"/>
  <c r="B194" i="3"/>
  <c r="C194" i="3" s="1"/>
  <c r="B190" i="3"/>
  <c r="C190" i="3" s="1"/>
  <c r="B182" i="3"/>
  <c r="C182" i="3" s="1"/>
  <c r="B180" i="3"/>
  <c r="C180" i="3" s="1"/>
  <c r="B178" i="3"/>
  <c r="C178" i="3" s="1"/>
  <c r="B176" i="3"/>
  <c r="C176" i="3" s="1"/>
  <c r="B174" i="3"/>
  <c r="C174" i="3" s="1"/>
  <c r="B172" i="3"/>
  <c r="C172" i="3" s="1"/>
  <c r="B170" i="3"/>
  <c r="C170" i="3" s="1"/>
  <c r="AJ170" i="3" s="1"/>
  <c r="B169" i="3"/>
  <c r="C169" i="3" s="1"/>
  <c r="AJ169" i="3" s="1"/>
  <c r="B167" i="3"/>
  <c r="C167" i="3" s="1"/>
  <c r="B165" i="3"/>
  <c r="C165" i="3" s="1"/>
  <c r="B163" i="3"/>
  <c r="C163" i="3" s="1"/>
  <c r="B161" i="3"/>
  <c r="C161" i="3" s="1"/>
  <c r="AJ161" i="3" s="1"/>
  <c r="B159" i="3"/>
  <c r="C159" i="3" s="1"/>
  <c r="AJ159" i="3" s="1"/>
  <c r="B157" i="3"/>
  <c r="C157" i="3" s="1"/>
  <c r="B183" i="3"/>
  <c r="C183" i="3" s="1"/>
  <c r="B192" i="3"/>
  <c r="C192" i="3" s="1"/>
  <c r="AJ192" i="3" s="1"/>
  <c r="B188" i="3"/>
  <c r="C188" i="3" s="1"/>
  <c r="B187" i="3"/>
  <c r="C187" i="3" s="1"/>
  <c r="B185" i="3"/>
  <c r="C185" i="3" s="1"/>
  <c r="B175" i="3"/>
  <c r="C175" i="3" s="1"/>
  <c r="B181" i="3"/>
  <c r="C181" i="3" s="1"/>
  <c r="B173" i="3"/>
  <c r="C173" i="3" s="1"/>
  <c r="B168" i="3"/>
  <c r="C168" i="3" s="1"/>
  <c r="B166" i="3"/>
  <c r="C166" i="3" s="1"/>
  <c r="AJ166" i="3" s="1"/>
  <c r="B164" i="3"/>
  <c r="C164" i="3" s="1"/>
  <c r="B154" i="3"/>
  <c r="C154" i="3" s="1"/>
  <c r="AJ154" i="3" s="1"/>
  <c r="B152" i="3"/>
  <c r="C152" i="3" s="1"/>
  <c r="AJ152" i="3" s="1"/>
  <c r="B150" i="3"/>
  <c r="C150" i="3" s="1"/>
  <c r="B148" i="3"/>
  <c r="C148" i="3" s="1"/>
  <c r="AJ148" i="3" s="1"/>
  <c r="B146" i="3"/>
  <c r="C146" i="3" s="1"/>
  <c r="B144" i="3"/>
  <c r="C144" i="3" s="1"/>
  <c r="B142" i="3"/>
  <c r="C142" i="3" s="1"/>
  <c r="B140" i="3"/>
  <c r="C140" i="3" s="1"/>
  <c r="AJ140" i="3" s="1"/>
  <c r="B138" i="3"/>
  <c r="C138" i="3" s="1"/>
  <c r="AJ138" i="3" s="1"/>
  <c r="B136" i="3"/>
  <c r="C136" i="3" s="1"/>
  <c r="B134" i="3"/>
  <c r="C134" i="3" s="1"/>
  <c r="B132" i="3"/>
  <c r="C132" i="3" s="1"/>
  <c r="AJ132" i="3" s="1"/>
  <c r="B130" i="3"/>
  <c r="C130" i="3" s="1"/>
  <c r="AJ130" i="3" s="1"/>
  <c r="B128" i="3"/>
  <c r="C128" i="3" s="1"/>
  <c r="AJ128" i="3" s="1"/>
  <c r="B126" i="3"/>
  <c r="C126" i="3" s="1"/>
  <c r="B124" i="3"/>
  <c r="C124" i="3" s="1"/>
  <c r="AJ124" i="3" s="1"/>
  <c r="B122" i="3"/>
  <c r="C122" i="3" s="1"/>
  <c r="B120" i="3"/>
  <c r="C120" i="3" s="1"/>
  <c r="B118" i="3"/>
  <c r="C118" i="3" s="1"/>
  <c r="B116" i="3"/>
  <c r="C116" i="3" s="1"/>
  <c r="AJ116" i="3" s="1"/>
  <c r="B179" i="3"/>
  <c r="C179" i="3" s="1"/>
  <c r="B177" i="3"/>
  <c r="C177" i="3" s="1"/>
  <c r="B162" i="3"/>
  <c r="C162" i="3" s="1"/>
  <c r="AJ162" i="3" s="1"/>
  <c r="B160" i="3"/>
  <c r="C160" i="3" s="1"/>
  <c r="AJ160" i="3" s="1"/>
  <c r="B158" i="3"/>
  <c r="C158" i="3" s="1"/>
  <c r="B156" i="3"/>
  <c r="C156" i="3" s="1"/>
  <c r="B133" i="3"/>
  <c r="C133" i="3" s="1"/>
  <c r="B131" i="3"/>
  <c r="C131" i="3" s="1"/>
  <c r="B129" i="3"/>
  <c r="C129" i="3" s="1"/>
  <c r="B127" i="3"/>
  <c r="C127" i="3" s="1"/>
  <c r="B125" i="3"/>
  <c r="C125" i="3" s="1"/>
  <c r="AJ125" i="3" s="1"/>
  <c r="B123" i="3"/>
  <c r="C123" i="3" s="1"/>
  <c r="AJ123" i="3" s="1"/>
  <c r="B121" i="3"/>
  <c r="C121" i="3" s="1"/>
  <c r="B119" i="3"/>
  <c r="C119" i="3" s="1"/>
  <c r="B117" i="3"/>
  <c r="C117" i="3" s="1"/>
  <c r="B115" i="3"/>
  <c r="C115" i="3" s="1"/>
  <c r="AJ115" i="3" s="1"/>
  <c r="B113" i="3"/>
  <c r="C113" i="3" s="1"/>
  <c r="B111" i="3"/>
  <c r="C111" i="3" s="1"/>
  <c r="B109" i="3"/>
  <c r="C109" i="3" s="1"/>
  <c r="B155" i="3"/>
  <c r="C155" i="3" s="1"/>
  <c r="AJ155" i="3" s="1"/>
  <c r="B153" i="3"/>
  <c r="C153" i="3" s="1"/>
  <c r="AJ153" i="3" s="1"/>
  <c r="B151" i="3"/>
  <c r="C151" i="3" s="1"/>
  <c r="B149" i="3"/>
  <c r="C149" i="3" s="1"/>
  <c r="AJ149" i="3" s="1"/>
  <c r="B147" i="3"/>
  <c r="C147" i="3" s="1"/>
  <c r="B145" i="3"/>
  <c r="C145" i="3" s="1"/>
  <c r="AJ145" i="3" s="1"/>
  <c r="B143" i="3"/>
  <c r="C143" i="3" s="1"/>
  <c r="B141" i="3"/>
  <c r="C141" i="3" s="1"/>
  <c r="B139" i="3"/>
  <c r="C139" i="3" s="1"/>
  <c r="B137" i="3"/>
  <c r="C137" i="3" s="1"/>
  <c r="B135" i="3"/>
  <c r="C135" i="3" s="1"/>
  <c r="B171" i="3"/>
  <c r="C171" i="3" s="1"/>
  <c r="B114" i="3"/>
  <c r="C114" i="3" s="1"/>
  <c r="B112" i="3"/>
  <c r="C112" i="3" s="1"/>
  <c r="B110" i="3"/>
  <c r="C110" i="3" s="1"/>
  <c r="AJ110" i="3" s="1"/>
  <c r="B108" i="3"/>
  <c r="C108" i="3" s="1"/>
  <c r="AJ108" i="3" s="1"/>
  <c r="B106" i="3"/>
  <c r="C106" i="3" s="1"/>
  <c r="B104" i="3"/>
  <c r="C104" i="3" s="1"/>
  <c r="AJ104" i="3" s="1"/>
  <c r="B102" i="3"/>
  <c r="C102" i="3" s="1"/>
  <c r="B100" i="3"/>
  <c r="C100" i="3" s="1"/>
  <c r="AJ100" i="3" s="1"/>
  <c r="B98" i="3"/>
  <c r="C98" i="3" s="1"/>
  <c r="B96" i="3"/>
  <c r="C96" i="3" s="1"/>
  <c r="AJ96" i="3" s="1"/>
  <c r="B94" i="3"/>
  <c r="C94" i="3" s="1"/>
  <c r="B92" i="3"/>
  <c r="C92" i="3" s="1"/>
  <c r="AJ92" i="3" s="1"/>
  <c r="B90" i="3"/>
  <c r="C90" i="3" s="1"/>
  <c r="AJ90" i="3" s="1"/>
  <c r="B88" i="3"/>
  <c r="C88" i="3" s="1"/>
  <c r="AJ88" i="3" s="1"/>
  <c r="B86" i="3"/>
  <c r="C86" i="3" s="1"/>
  <c r="B84" i="3"/>
  <c r="C84" i="3" s="1"/>
  <c r="AJ84" i="3" s="1"/>
  <c r="B82" i="3"/>
  <c r="C82" i="3" s="1"/>
  <c r="AJ82" i="3" s="1"/>
  <c r="B79" i="3"/>
  <c r="C79" i="3" s="1"/>
  <c r="B77" i="3"/>
  <c r="C77" i="3" s="1"/>
  <c r="B75" i="3"/>
  <c r="C75" i="3" s="1"/>
  <c r="B73" i="3"/>
  <c r="C73" i="3" s="1"/>
  <c r="B71" i="3"/>
  <c r="C71" i="3" s="1"/>
  <c r="B69" i="3"/>
  <c r="C69" i="3" s="1"/>
  <c r="B67" i="3"/>
  <c r="C67" i="3" s="1"/>
  <c r="B65" i="3"/>
  <c r="C65" i="3" s="1"/>
  <c r="B83" i="3"/>
  <c r="C83" i="3" s="1"/>
  <c r="AJ83" i="3" s="1"/>
  <c r="B107" i="3"/>
  <c r="C107" i="3" s="1"/>
  <c r="B105" i="3"/>
  <c r="C105" i="3" s="1"/>
  <c r="B103" i="3"/>
  <c r="C103" i="3" s="1"/>
  <c r="AJ103" i="3" s="1"/>
  <c r="B101" i="3"/>
  <c r="C101" i="3" s="1"/>
  <c r="AJ101" i="3" s="1"/>
  <c r="B99" i="3"/>
  <c r="C99" i="3" s="1"/>
  <c r="AJ99" i="3" s="1"/>
  <c r="B97" i="3"/>
  <c r="C97" i="3" s="1"/>
  <c r="B95" i="3"/>
  <c r="C95" i="3" s="1"/>
  <c r="B93" i="3"/>
  <c r="C93" i="3" s="1"/>
  <c r="B91" i="3"/>
  <c r="C91" i="3" s="1"/>
  <c r="B89" i="3"/>
  <c r="C89" i="3" s="1"/>
  <c r="B87" i="3"/>
  <c r="C87" i="3" s="1"/>
  <c r="B85" i="3"/>
  <c r="C85" i="3" s="1"/>
  <c r="B81" i="3"/>
  <c r="C81" i="3" s="1"/>
  <c r="M28" i="3"/>
  <c r="K29" i="3" s="1"/>
  <c r="K31" i="3" s="1"/>
  <c r="B64" i="3"/>
  <c r="C64" i="3" s="1"/>
  <c r="B66" i="3"/>
  <c r="C66" i="3" s="1"/>
  <c r="B68" i="3"/>
  <c r="C68" i="3" s="1"/>
  <c r="AJ68" i="3" s="1"/>
  <c r="B70" i="3"/>
  <c r="C70" i="3" s="1"/>
  <c r="B72" i="3"/>
  <c r="C72" i="3" s="1"/>
  <c r="B74" i="3"/>
  <c r="C74" i="3" s="1"/>
  <c r="B76" i="3"/>
  <c r="C76" i="3" s="1"/>
  <c r="AJ80" i="3"/>
  <c r="I10" i="2"/>
  <c r="B88" i="1"/>
  <c r="B93" i="1"/>
  <c r="K32" i="1" s="1"/>
  <c r="B56" i="1"/>
  <c r="A61" i="2" l="1"/>
  <c r="B61" i="2" s="1"/>
  <c r="F30" i="2" s="1"/>
  <c r="A65" i="2"/>
  <c r="B65" i="2" s="1"/>
  <c r="A54" i="2"/>
  <c r="B54" i="2" s="1"/>
  <c r="F23" i="2" s="1"/>
  <c r="A53" i="2"/>
  <c r="B53" i="2" s="1"/>
  <c r="F22" i="2" s="1"/>
  <c r="A69" i="2"/>
  <c r="B69" i="2" s="1"/>
  <c r="O69" i="2" s="1"/>
  <c r="L259" i="3"/>
  <c r="D169" i="3"/>
  <c r="E250" i="3"/>
  <c r="D80" i="3"/>
  <c r="E193" i="3"/>
  <c r="E100" i="3"/>
  <c r="E218" i="3"/>
  <c r="E80" i="3"/>
  <c r="D126" i="3"/>
  <c r="D252" i="3"/>
  <c r="D150" i="3"/>
  <c r="D67" i="3"/>
  <c r="D81" i="3"/>
  <c r="D69" i="3"/>
  <c r="E77" i="3"/>
  <c r="D94" i="3"/>
  <c r="D143" i="3"/>
  <c r="D127" i="3"/>
  <c r="D120" i="3"/>
  <c r="D168" i="3"/>
  <c r="E194" i="3"/>
  <c r="E198" i="3"/>
  <c r="E226" i="3"/>
  <c r="E247" i="3"/>
  <c r="E244" i="3"/>
  <c r="E133" i="3"/>
  <c r="E95" i="3"/>
  <c r="E132" i="3"/>
  <c r="D162" i="3"/>
  <c r="E229" i="3"/>
  <c r="E70" i="3"/>
  <c r="E87" i="3"/>
  <c r="D73" i="3"/>
  <c r="E106" i="3"/>
  <c r="E114" i="3"/>
  <c r="D147" i="3"/>
  <c r="E131" i="3"/>
  <c r="D164" i="3"/>
  <c r="E181" i="3"/>
  <c r="D188" i="3"/>
  <c r="E167" i="3"/>
  <c r="E182" i="3"/>
  <c r="D210" i="3"/>
  <c r="D218" i="3"/>
  <c r="D243" i="3"/>
  <c r="D248" i="3"/>
  <c r="D240" i="3"/>
  <c r="D254" i="3"/>
  <c r="E256" i="3"/>
  <c r="D262" i="3"/>
  <c r="D142" i="3"/>
  <c r="E115" i="3"/>
  <c r="D133" i="3"/>
  <c r="D190" i="3"/>
  <c r="E264" i="3"/>
  <c r="AP80" i="3"/>
  <c r="D75" i="3"/>
  <c r="E84" i="3"/>
  <c r="E108" i="3"/>
  <c r="E141" i="3"/>
  <c r="D149" i="3"/>
  <c r="D117" i="3"/>
  <c r="D134" i="3"/>
  <c r="E166" i="3"/>
  <c r="E196" i="3"/>
  <c r="D241" i="3"/>
  <c r="E215" i="3"/>
  <c r="E237" i="3"/>
  <c r="E251" i="3"/>
  <c r="D100" i="3"/>
  <c r="F100" i="3" s="1"/>
  <c r="H100" i="3" s="1"/>
  <c r="E103" i="3"/>
  <c r="E92" i="3"/>
  <c r="D118" i="3"/>
  <c r="D141" i="3"/>
  <c r="E184" i="3"/>
  <c r="E224" i="3"/>
  <c r="E245" i="3"/>
  <c r="D264" i="3"/>
  <c r="D98" i="3"/>
  <c r="E66" i="3"/>
  <c r="E85" i="3"/>
  <c r="E93" i="3"/>
  <c r="E101" i="3"/>
  <c r="E71" i="3"/>
  <c r="D79" i="3"/>
  <c r="D104" i="3"/>
  <c r="D113" i="3"/>
  <c r="E121" i="3"/>
  <c r="E179" i="3"/>
  <c r="E122" i="3"/>
  <c r="E130" i="3"/>
  <c r="D146" i="3"/>
  <c r="D173" i="3"/>
  <c r="D187" i="3"/>
  <c r="E165" i="3"/>
  <c r="E180" i="3"/>
  <c r="E191" i="3"/>
  <c r="E199" i="3"/>
  <c r="D220" i="3"/>
  <c r="E232" i="3"/>
  <c r="E235" i="3"/>
  <c r="E263" i="3"/>
  <c r="D108" i="3"/>
  <c r="F108" i="3" s="1"/>
  <c r="D78" i="3"/>
  <c r="D83" i="3"/>
  <c r="E124" i="3"/>
  <c r="E149" i="3"/>
  <c r="D181" i="3"/>
  <c r="D209" i="3"/>
  <c r="E234" i="3"/>
  <c r="L69" i="2"/>
  <c r="D48" i="2"/>
  <c r="E48" i="2" s="1"/>
  <c r="H17" i="2" s="1"/>
  <c r="D69" i="2"/>
  <c r="E69" i="2" s="1"/>
  <c r="H38" i="2" s="1"/>
  <c r="D47" i="2"/>
  <c r="E47" i="2" s="1"/>
  <c r="H16" i="2" s="1"/>
  <c r="D62" i="2"/>
  <c r="E62" i="2" s="1"/>
  <c r="H31" i="2" s="1"/>
  <c r="D63" i="2"/>
  <c r="E63" i="2" s="1"/>
  <c r="H32" i="2" s="1"/>
  <c r="D53" i="2"/>
  <c r="E53" i="2" s="1"/>
  <c r="A48" i="2"/>
  <c r="B48" i="2" s="1"/>
  <c r="F17" i="2" s="1"/>
  <c r="A64" i="2"/>
  <c r="B64" i="2" s="1"/>
  <c r="F33" i="2" s="1"/>
  <c r="D52" i="2"/>
  <c r="E52" i="2" s="1"/>
  <c r="H21" i="2" s="1"/>
  <c r="D57" i="2"/>
  <c r="E57" i="2" s="1"/>
  <c r="H26" i="2" s="1"/>
  <c r="D51" i="2"/>
  <c r="E51" i="2" s="1"/>
  <c r="H20" i="2" s="1"/>
  <c r="D66" i="2"/>
  <c r="E66" i="2" s="1"/>
  <c r="H35" i="2" s="1"/>
  <c r="D67" i="2"/>
  <c r="E67" i="2" s="1"/>
  <c r="H36" i="2" s="1"/>
  <c r="D56" i="2"/>
  <c r="E56" i="2" s="1"/>
  <c r="H25" i="2" s="1"/>
  <c r="L201" i="3"/>
  <c r="L98" i="3"/>
  <c r="L139" i="3"/>
  <c r="L234" i="3"/>
  <c r="L72" i="2"/>
  <c r="A47" i="2"/>
  <c r="B47" i="2" s="1"/>
  <c r="F16" i="2" s="1"/>
  <c r="A63" i="2"/>
  <c r="B63" i="2" s="1"/>
  <c r="F32" i="2" s="1"/>
  <c r="A57" i="2"/>
  <c r="B57" i="2" s="1"/>
  <c r="F26" i="2" s="1"/>
  <c r="A52" i="2"/>
  <c r="B52" i="2" s="1"/>
  <c r="A68" i="2"/>
  <c r="B68" i="2" s="1"/>
  <c r="N68" i="2" s="1"/>
  <c r="D46" i="2"/>
  <c r="E46" i="2" s="1"/>
  <c r="H15" i="2" s="1"/>
  <c r="D61" i="2"/>
  <c r="E61" i="2" s="1"/>
  <c r="H30" i="2" s="1"/>
  <c r="D54" i="2"/>
  <c r="E54" i="2" s="1"/>
  <c r="H23" i="2" s="1"/>
  <c r="D70" i="2"/>
  <c r="E70" i="2" s="1"/>
  <c r="H39" i="2" s="1"/>
  <c r="D55" i="2"/>
  <c r="E55" i="2" s="1"/>
  <c r="H24" i="2" s="1"/>
  <c r="D71" i="2"/>
  <c r="E71" i="2" s="1"/>
  <c r="H40" i="2" s="1"/>
  <c r="F72" i="2"/>
  <c r="D41" i="2" s="1"/>
  <c r="G72" i="2"/>
  <c r="E41" i="2" s="1"/>
  <c r="D45" i="2"/>
  <c r="E45" i="2" s="1"/>
  <c r="H14" i="2" s="1"/>
  <c r="D60" i="2"/>
  <c r="E60" i="2" s="1"/>
  <c r="H29" i="2" s="1"/>
  <c r="D68" i="2"/>
  <c r="E68" i="2" s="1"/>
  <c r="H37" i="2" s="1"/>
  <c r="L134" i="3"/>
  <c r="L250" i="3"/>
  <c r="A51" i="2"/>
  <c r="B51" i="2" s="1"/>
  <c r="F20" i="2" s="1"/>
  <c r="A67" i="2"/>
  <c r="B67" i="2" s="1"/>
  <c r="F36" i="2" s="1"/>
  <c r="A70" i="2"/>
  <c r="B70" i="2" s="1"/>
  <c r="J70" i="2" s="1"/>
  <c r="D50" i="2"/>
  <c r="E50" i="2" s="1"/>
  <c r="H19" i="2" s="1"/>
  <c r="D65" i="2"/>
  <c r="E65" i="2" s="1"/>
  <c r="H34" i="2" s="1"/>
  <c r="D58" i="2"/>
  <c r="E58" i="2" s="1"/>
  <c r="H27" i="2" s="1"/>
  <c r="D59" i="2"/>
  <c r="E59" i="2" s="1"/>
  <c r="H28" i="2" s="1"/>
  <c r="D49" i="2"/>
  <c r="E49" i="2" s="1"/>
  <c r="H18" i="2" s="1"/>
  <c r="D64" i="2"/>
  <c r="E64" i="2" s="1"/>
  <c r="H33" i="2" s="1"/>
  <c r="F27" i="2"/>
  <c r="F24" i="2"/>
  <c r="F40" i="2"/>
  <c r="F15" i="2"/>
  <c r="F13" i="2"/>
  <c r="G13" i="2"/>
  <c r="F29" i="2"/>
  <c r="L68" i="2"/>
  <c r="F35" i="2"/>
  <c r="F28" i="2"/>
  <c r="F14" i="2"/>
  <c r="F38" i="2"/>
  <c r="F31" i="2"/>
  <c r="L70" i="2"/>
  <c r="L71" i="2"/>
  <c r="F18" i="2"/>
  <c r="F19" i="2"/>
  <c r="F34" i="2"/>
  <c r="F25" i="2"/>
  <c r="F41" i="2"/>
  <c r="G41" i="2"/>
  <c r="B75" i="1"/>
  <c r="L29" i="1" s="1"/>
  <c r="E13" i="2"/>
  <c r="B59" i="1"/>
  <c r="L28" i="1" s="1"/>
  <c r="D13" i="2"/>
  <c r="L148" i="3"/>
  <c r="L205" i="3"/>
  <c r="L260" i="3"/>
  <c r="L106" i="3"/>
  <c r="L169" i="3"/>
  <c r="L217" i="3"/>
  <c r="L162" i="3"/>
  <c r="L93" i="3"/>
  <c r="L174" i="3"/>
  <c r="L231" i="3"/>
  <c r="L88" i="3"/>
  <c r="L112" i="3"/>
  <c r="L137" i="3"/>
  <c r="L129" i="3"/>
  <c r="L158" i="3"/>
  <c r="L157" i="3"/>
  <c r="L172" i="3"/>
  <c r="L184" i="3"/>
  <c r="L219" i="3"/>
  <c r="L227" i="3"/>
  <c r="L114" i="3"/>
  <c r="L80" i="3"/>
  <c r="L101" i="3"/>
  <c r="L141" i="3"/>
  <c r="L182" i="3"/>
  <c r="L238" i="3"/>
  <c r="L242" i="3"/>
  <c r="L263" i="3"/>
  <c r="L79" i="3"/>
  <c r="L92" i="3"/>
  <c r="L118" i="3"/>
  <c r="L155" i="3"/>
  <c r="L211" i="3"/>
  <c r="L210" i="3"/>
  <c r="L249" i="3"/>
  <c r="C27" i="3"/>
  <c r="M261" i="3" s="1"/>
  <c r="L108" i="3"/>
  <c r="L103" i="3"/>
  <c r="L171" i="3"/>
  <c r="L145" i="3"/>
  <c r="L164" i="3"/>
  <c r="L186" i="3"/>
  <c r="L198" i="3"/>
  <c r="L215" i="3"/>
  <c r="L240" i="3"/>
  <c r="L246" i="3"/>
  <c r="L252" i="3"/>
  <c r="L262" i="3"/>
  <c r="L146" i="3"/>
  <c r="L117" i="3"/>
  <c r="L90" i="3"/>
  <c r="L89" i="3"/>
  <c r="L113" i="3"/>
  <c r="L179" i="3"/>
  <c r="L153" i="3"/>
  <c r="L209" i="3"/>
  <c r="L195" i="3"/>
  <c r="L203" i="3"/>
  <c r="L208" i="3"/>
  <c r="L229" i="3"/>
  <c r="L245" i="3"/>
  <c r="L258" i="3"/>
  <c r="L121" i="3"/>
  <c r="L82" i="3"/>
  <c r="L100" i="3"/>
  <c r="L142" i="3"/>
  <c r="L95" i="3"/>
  <c r="L105" i="3"/>
  <c r="L126" i="3"/>
  <c r="L125" i="3"/>
  <c r="L173" i="3"/>
  <c r="L147" i="3"/>
  <c r="L161" i="3"/>
  <c r="L166" i="3"/>
  <c r="L176" i="3"/>
  <c r="L190" i="3"/>
  <c r="L193" i="3"/>
  <c r="L200" i="3"/>
  <c r="L207" i="3"/>
  <c r="L222" i="3"/>
  <c r="L212" i="3"/>
  <c r="L221" i="3"/>
  <c r="L235" i="3"/>
  <c r="L241" i="3"/>
  <c r="L251" i="3"/>
  <c r="L254" i="3"/>
  <c r="L255" i="3"/>
  <c r="L264" i="3"/>
  <c r="L181" i="3"/>
  <c r="L84" i="3"/>
  <c r="L104" i="3"/>
  <c r="L150" i="3"/>
  <c r="L97" i="3"/>
  <c r="L109" i="3"/>
  <c r="L130" i="3"/>
  <c r="L133" i="3"/>
  <c r="L175" i="3"/>
  <c r="L149" i="3"/>
  <c r="L165" i="3"/>
  <c r="L168" i="3"/>
  <c r="L180" i="3"/>
  <c r="L192" i="3"/>
  <c r="L196" i="3"/>
  <c r="L228" i="3"/>
  <c r="L224" i="3"/>
  <c r="L202" i="3"/>
  <c r="L218" i="3"/>
  <c r="L223" i="3"/>
  <c r="L237" i="3"/>
  <c r="L243" i="3"/>
  <c r="L248" i="3"/>
  <c r="L256" i="3"/>
  <c r="L102" i="3"/>
  <c r="L151" i="3"/>
  <c r="L144" i="3"/>
  <c r="L189" i="3"/>
  <c r="L225" i="3"/>
  <c r="B85" i="1"/>
  <c r="L30" i="1"/>
  <c r="F22" i="1"/>
  <c r="B55" i="1" s="1"/>
  <c r="P71" i="2"/>
  <c r="O71" i="2"/>
  <c r="N71" i="2"/>
  <c r="J71" i="2"/>
  <c r="M71" i="2"/>
  <c r="I71" i="2"/>
  <c r="K71" i="2"/>
  <c r="P69" i="2"/>
  <c r="F18" i="1"/>
  <c r="F17" i="1" s="1"/>
  <c r="F23" i="1"/>
  <c r="B72" i="1" s="1"/>
  <c r="D180" i="3"/>
  <c r="L122" i="3"/>
  <c r="L220" i="3"/>
  <c r="E123" i="3"/>
  <c r="D154" i="3"/>
  <c r="D161" i="3"/>
  <c r="E173" i="3"/>
  <c r="F173" i="3" s="1"/>
  <c r="H173" i="3" s="1"/>
  <c r="E188" i="3"/>
  <c r="E207" i="3"/>
  <c r="D217" i="3"/>
  <c r="AJ85" i="3"/>
  <c r="AJ114" i="3"/>
  <c r="AJ146" i="3"/>
  <c r="AJ220" i="3"/>
  <c r="AJ248" i="3"/>
  <c r="AO80" i="3"/>
  <c r="L127" i="3"/>
  <c r="L197" i="3"/>
  <c r="L138" i="3"/>
  <c r="D199" i="3"/>
  <c r="D216" i="3"/>
  <c r="E246" i="3"/>
  <c r="L96" i="3"/>
  <c r="L85" i="3"/>
  <c r="L191" i="3"/>
  <c r="L199" i="3"/>
  <c r="L232" i="3"/>
  <c r="D71" i="3"/>
  <c r="L87" i="3"/>
  <c r="L123" i="3"/>
  <c r="L131" i="3"/>
  <c r="L216" i="3"/>
  <c r="L257" i="3"/>
  <c r="E78" i="3"/>
  <c r="E116" i="3"/>
  <c r="D125" i="3"/>
  <c r="E161" i="3"/>
  <c r="E201" i="3"/>
  <c r="D246" i="3"/>
  <c r="D222" i="3"/>
  <c r="D249" i="3"/>
  <c r="E254" i="3"/>
  <c r="F254" i="3" s="1"/>
  <c r="H254" i="3" s="1"/>
  <c r="AJ93" i="3"/>
  <c r="AJ122" i="3"/>
  <c r="AJ187" i="3"/>
  <c r="AJ218" i="3"/>
  <c r="AJ256" i="3"/>
  <c r="AT80" i="3"/>
  <c r="AU80" i="3" s="1"/>
  <c r="AL76" i="3"/>
  <c r="AM76" i="3" s="1"/>
  <c r="AN76" i="3" s="1"/>
  <c r="AR76" i="3"/>
  <c r="S76" i="3"/>
  <c r="AQ76" i="3"/>
  <c r="AK76" i="3"/>
  <c r="AS76" i="3"/>
  <c r="K76" i="3"/>
  <c r="AL64" i="3"/>
  <c r="AM64" i="3" s="1"/>
  <c r="AN64" i="3" s="1"/>
  <c r="AR64" i="3"/>
  <c r="S64" i="3"/>
  <c r="AK64" i="3"/>
  <c r="AQ64" i="3"/>
  <c r="L64" i="3"/>
  <c r="K64" i="3"/>
  <c r="AS64" i="3"/>
  <c r="AS91" i="3"/>
  <c r="AK91" i="3"/>
  <c r="AQ91" i="3"/>
  <c r="AL91" i="3"/>
  <c r="AM91" i="3" s="1"/>
  <c r="AN91" i="3" s="1"/>
  <c r="K91" i="3"/>
  <c r="AR91" i="3"/>
  <c r="S91" i="3"/>
  <c r="AS107" i="3"/>
  <c r="AK107" i="3"/>
  <c r="AQ107" i="3"/>
  <c r="AL107" i="3"/>
  <c r="AM107" i="3" s="1"/>
  <c r="AN107" i="3" s="1"/>
  <c r="K107" i="3"/>
  <c r="AR107" i="3"/>
  <c r="S107" i="3"/>
  <c r="AQ86" i="3"/>
  <c r="S86" i="3"/>
  <c r="AR86" i="3"/>
  <c r="AL86" i="3"/>
  <c r="AM86" i="3" s="1"/>
  <c r="AN86" i="3" s="1"/>
  <c r="K86" i="3"/>
  <c r="AK86" i="3"/>
  <c r="AS86" i="3"/>
  <c r="AQ94" i="3"/>
  <c r="S94" i="3"/>
  <c r="AR94" i="3"/>
  <c r="AL94" i="3"/>
  <c r="AM94" i="3" s="1"/>
  <c r="AN94" i="3" s="1"/>
  <c r="AK94" i="3"/>
  <c r="K94" i="3"/>
  <c r="AS94" i="3"/>
  <c r="AS135" i="3"/>
  <c r="AK135" i="3"/>
  <c r="AL135" i="3"/>
  <c r="AM135" i="3" s="1"/>
  <c r="AN135" i="3" s="1"/>
  <c r="S135" i="3"/>
  <c r="K135" i="3"/>
  <c r="AQ135" i="3"/>
  <c r="AR135" i="3"/>
  <c r="AR111" i="3"/>
  <c r="K111" i="3"/>
  <c r="AS111" i="3"/>
  <c r="AK111" i="3"/>
  <c r="S111" i="3"/>
  <c r="AQ111" i="3"/>
  <c r="AL111" i="3"/>
  <c r="AM111" i="3" s="1"/>
  <c r="AN111" i="3" s="1"/>
  <c r="AL119" i="3"/>
  <c r="AM119" i="3" s="1"/>
  <c r="AN119" i="3" s="1"/>
  <c r="AR119" i="3"/>
  <c r="S119" i="3"/>
  <c r="AS119" i="3"/>
  <c r="AQ119" i="3"/>
  <c r="K119" i="3"/>
  <c r="AK119" i="3"/>
  <c r="AQ177" i="3"/>
  <c r="S177" i="3"/>
  <c r="AK177" i="3"/>
  <c r="K177" i="3"/>
  <c r="AL177" i="3"/>
  <c r="AM177" i="3" s="1"/>
  <c r="AN177" i="3" s="1"/>
  <c r="AS177" i="3"/>
  <c r="AR177" i="3"/>
  <c r="AQ136" i="3"/>
  <c r="S136" i="3"/>
  <c r="AR136" i="3"/>
  <c r="K136" i="3"/>
  <c r="AS136" i="3"/>
  <c r="AK136" i="3"/>
  <c r="AL136" i="3"/>
  <c r="AM136" i="3" s="1"/>
  <c r="AN136" i="3" s="1"/>
  <c r="AQ144" i="3"/>
  <c r="S144" i="3"/>
  <c r="AR144" i="3"/>
  <c r="K144" i="3"/>
  <c r="AS144" i="3"/>
  <c r="AK144" i="3"/>
  <c r="AL144" i="3"/>
  <c r="AM144" i="3" s="1"/>
  <c r="AN144" i="3" s="1"/>
  <c r="AL185" i="3"/>
  <c r="AM185" i="3" s="1"/>
  <c r="AN185" i="3" s="1"/>
  <c r="AS185" i="3"/>
  <c r="AK185" i="3"/>
  <c r="AQ185" i="3"/>
  <c r="S185" i="3"/>
  <c r="AR185" i="3"/>
  <c r="K185" i="3"/>
  <c r="AL183" i="3"/>
  <c r="AM183" i="3" s="1"/>
  <c r="AN183" i="3" s="1"/>
  <c r="AS183" i="3"/>
  <c r="AK183" i="3"/>
  <c r="AQ183" i="3"/>
  <c r="S183" i="3"/>
  <c r="K183" i="3"/>
  <c r="AR183" i="3"/>
  <c r="AS178" i="3"/>
  <c r="AK178" i="3"/>
  <c r="AR178" i="3"/>
  <c r="S178" i="3"/>
  <c r="AQ178" i="3"/>
  <c r="K178" i="3"/>
  <c r="AL178" i="3"/>
  <c r="AM178" i="3" s="1"/>
  <c r="AN178" i="3" s="1"/>
  <c r="AS204" i="3"/>
  <c r="AK204" i="3"/>
  <c r="AR204" i="3"/>
  <c r="S204" i="3"/>
  <c r="AQ204" i="3"/>
  <c r="K204" i="3"/>
  <c r="AL204" i="3"/>
  <c r="AM204" i="3" s="1"/>
  <c r="AN204" i="3" s="1"/>
  <c r="AR189" i="3"/>
  <c r="K189" i="3"/>
  <c r="AS189" i="3"/>
  <c r="S189" i="3"/>
  <c r="AQ189" i="3"/>
  <c r="AL189" i="3"/>
  <c r="AM189" i="3" s="1"/>
  <c r="AN189" i="3" s="1"/>
  <c r="AK189" i="3"/>
  <c r="AS206" i="3"/>
  <c r="AK206" i="3"/>
  <c r="AR206" i="3"/>
  <c r="AL206" i="3"/>
  <c r="AM206" i="3" s="1"/>
  <c r="AN206" i="3" s="1"/>
  <c r="S206" i="3"/>
  <c r="K206" i="3"/>
  <c r="AQ206" i="3"/>
  <c r="AS214" i="3"/>
  <c r="AK214" i="3"/>
  <c r="AR214" i="3"/>
  <c r="S214" i="3"/>
  <c r="AQ214" i="3"/>
  <c r="AL214" i="3"/>
  <c r="AM214" i="3" s="1"/>
  <c r="AN214" i="3" s="1"/>
  <c r="K214" i="3"/>
  <c r="AL239" i="3"/>
  <c r="AM239" i="3" s="1"/>
  <c r="AN239" i="3" s="1"/>
  <c r="AQ239" i="3"/>
  <c r="AK239" i="3"/>
  <c r="K239" i="3"/>
  <c r="AR239" i="3"/>
  <c r="S239" i="3"/>
  <c r="AS239" i="3"/>
  <c r="AR233" i="3"/>
  <c r="K233" i="3"/>
  <c r="AQ233" i="3"/>
  <c r="S233" i="3"/>
  <c r="AS233" i="3"/>
  <c r="AK233" i="3"/>
  <c r="AL233" i="3"/>
  <c r="AM233" i="3" s="1"/>
  <c r="AN233" i="3" s="1"/>
  <c r="AR236" i="3"/>
  <c r="K236" i="3"/>
  <c r="AS236" i="3"/>
  <c r="S236" i="3"/>
  <c r="AK236" i="3"/>
  <c r="AL236" i="3"/>
  <c r="AM236" i="3" s="1"/>
  <c r="AN236" i="3" s="1"/>
  <c r="AQ236" i="3"/>
  <c r="AS253" i="3"/>
  <c r="AQ253" i="3"/>
  <c r="S253" i="3"/>
  <c r="AR253" i="3"/>
  <c r="AL253" i="3"/>
  <c r="AM253" i="3" s="1"/>
  <c r="AN253" i="3" s="1"/>
  <c r="K253" i="3"/>
  <c r="AK253" i="3"/>
  <c r="AQ261" i="3"/>
  <c r="S261" i="3"/>
  <c r="AL261" i="3"/>
  <c r="AM261" i="3" s="1"/>
  <c r="AN261" i="3" s="1"/>
  <c r="AR261" i="3"/>
  <c r="K261" i="3"/>
  <c r="AS261" i="3"/>
  <c r="AK261" i="3"/>
  <c r="AJ64" i="3"/>
  <c r="E119" i="3"/>
  <c r="D68" i="3"/>
  <c r="D76" i="3"/>
  <c r="D91" i="3"/>
  <c r="E170" i="3"/>
  <c r="E136" i="3"/>
  <c r="D183" i="3"/>
  <c r="D198" i="3"/>
  <c r="AJ177" i="3"/>
  <c r="AJ185" i="3"/>
  <c r="AJ206" i="3"/>
  <c r="AJ239" i="3"/>
  <c r="AJ233" i="3"/>
  <c r="K30" i="3"/>
  <c r="K32" i="3" s="1"/>
  <c r="K33" i="3"/>
  <c r="L120" i="3"/>
  <c r="AJ143" i="3"/>
  <c r="L110" i="3"/>
  <c r="D102" i="3"/>
  <c r="D86" i="3"/>
  <c r="AL74" i="3"/>
  <c r="AM74" i="3" s="1"/>
  <c r="AN74" i="3" s="1"/>
  <c r="AR74" i="3"/>
  <c r="S74" i="3"/>
  <c r="AQ74" i="3"/>
  <c r="AK74" i="3"/>
  <c r="L74" i="3"/>
  <c r="K74" i="3"/>
  <c r="AS74" i="3"/>
  <c r="AL70" i="3"/>
  <c r="AM70" i="3" s="1"/>
  <c r="AN70" i="3" s="1"/>
  <c r="AR70" i="3"/>
  <c r="S70" i="3"/>
  <c r="AK70" i="3"/>
  <c r="L70" i="3"/>
  <c r="AQ70" i="3"/>
  <c r="AS70" i="3"/>
  <c r="K70" i="3"/>
  <c r="AL66" i="3"/>
  <c r="AM66" i="3" s="1"/>
  <c r="AN66" i="3" s="1"/>
  <c r="AR66" i="3"/>
  <c r="S66" i="3"/>
  <c r="AQ66" i="3"/>
  <c r="AK66" i="3"/>
  <c r="L66" i="3"/>
  <c r="AS66" i="3"/>
  <c r="K66" i="3"/>
  <c r="L81" i="3"/>
  <c r="L170" i="3"/>
  <c r="L178" i="3"/>
  <c r="L194" i="3"/>
  <c r="L185" i="3"/>
  <c r="L206" i="3"/>
  <c r="L214" i="3"/>
  <c r="L253" i="3"/>
  <c r="L261" i="3"/>
  <c r="AS87" i="3"/>
  <c r="AK87" i="3"/>
  <c r="AQ87" i="3"/>
  <c r="AL87" i="3"/>
  <c r="AM87" i="3" s="1"/>
  <c r="AN87" i="3" s="1"/>
  <c r="K87" i="3"/>
  <c r="AR87" i="3"/>
  <c r="S87" i="3"/>
  <c r="AS95" i="3"/>
  <c r="AK95" i="3"/>
  <c r="AQ95" i="3"/>
  <c r="AL95" i="3"/>
  <c r="AM95" i="3" s="1"/>
  <c r="AN95" i="3" s="1"/>
  <c r="K95" i="3"/>
  <c r="AR95" i="3"/>
  <c r="S95" i="3"/>
  <c r="AR65" i="3"/>
  <c r="K65" i="3"/>
  <c r="AK65" i="3"/>
  <c r="AS65" i="3"/>
  <c r="S65" i="3"/>
  <c r="AQ65" i="3"/>
  <c r="AL65" i="3"/>
  <c r="AM65" i="3" s="1"/>
  <c r="AN65" i="3" s="1"/>
  <c r="AO65" i="3" s="1"/>
  <c r="L65" i="3"/>
  <c r="AQ82" i="3"/>
  <c r="S82" i="3"/>
  <c r="AR82" i="3"/>
  <c r="AL82" i="3"/>
  <c r="AM82" i="3" s="1"/>
  <c r="AN82" i="3" s="1"/>
  <c r="AK82" i="3"/>
  <c r="AP82" i="3" s="1"/>
  <c r="K82" i="3"/>
  <c r="AS82" i="3"/>
  <c r="AQ98" i="3"/>
  <c r="S98" i="3"/>
  <c r="AR98" i="3"/>
  <c r="AL98" i="3"/>
  <c r="AM98" i="3" s="1"/>
  <c r="AN98" i="3" s="1"/>
  <c r="AK98" i="3"/>
  <c r="K98" i="3"/>
  <c r="AS98" i="3"/>
  <c r="AS139" i="3"/>
  <c r="AK139" i="3"/>
  <c r="AL139" i="3"/>
  <c r="AM139" i="3" s="1"/>
  <c r="AN139" i="3" s="1"/>
  <c r="S139" i="3"/>
  <c r="K139" i="3"/>
  <c r="AQ139" i="3"/>
  <c r="AR139" i="3"/>
  <c r="D106" i="3"/>
  <c r="D90" i="3"/>
  <c r="AJ78" i="3"/>
  <c r="D77" i="3"/>
  <c r="D65" i="3"/>
  <c r="L140" i="3"/>
  <c r="L136" i="3"/>
  <c r="L86" i="3"/>
  <c r="L94" i="3"/>
  <c r="L115" i="3"/>
  <c r="L83" i="3"/>
  <c r="L91" i="3"/>
  <c r="L99" i="3"/>
  <c r="L107" i="3"/>
  <c r="L116" i="3"/>
  <c r="L124" i="3"/>
  <c r="L132" i="3"/>
  <c r="L160" i="3"/>
  <c r="L135" i="3"/>
  <c r="L143" i="3"/>
  <c r="L159" i="3"/>
  <c r="L167" i="3"/>
  <c r="L188" i="3"/>
  <c r="L187" i="3"/>
  <c r="L213" i="3"/>
  <c r="L226" i="3"/>
  <c r="L233" i="3"/>
  <c r="L244" i="3"/>
  <c r="L247" i="3"/>
  <c r="AS89" i="3"/>
  <c r="AK89" i="3"/>
  <c r="AQ89" i="3"/>
  <c r="AL89" i="3"/>
  <c r="AM89" i="3" s="1"/>
  <c r="AN89" i="3" s="1"/>
  <c r="K89" i="3"/>
  <c r="AR89" i="3"/>
  <c r="S89" i="3"/>
  <c r="AS97" i="3"/>
  <c r="AK97" i="3"/>
  <c r="AQ97" i="3"/>
  <c r="AL97" i="3"/>
  <c r="AM97" i="3" s="1"/>
  <c r="AN97" i="3" s="1"/>
  <c r="K97" i="3"/>
  <c r="AR97" i="3"/>
  <c r="S97" i="3"/>
  <c r="AS105" i="3"/>
  <c r="AK105" i="3"/>
  <c r="AQ105" i="3"/>
  <c r="AL105" i="3"/>
  <c r="AM105" i="3" s="1"/>
  <c r="AN105" i="3" s="1"/>
  <c r="K105" i="3"/>
  <c r="AR105" i="3"/>
  <c r="S105" i="3"/>
  <c r="AR67" i="3"/>
  <c r="K67" i="3"/>
  <c r="AK67" i="3"/>
  <c r="S67" i="3"/>
  <c r="AS67" i="3"/>
  <c r="AQ67" i="3"/>
  <c r="AL67" i="3"/>
  <c r="AM67" i="3" s="1"/>
  <c r="AN67" i="3" s="1"/>
  <c r="L67" i="3"/>
  <c r="AR75" i="3"/>
  <c r="K75" i="3"/>
  <c r="AK75" i="3"/>
  <c r="S75" i="3"/>
  <c r="AS75" i="3"/>
  <c r="AQ75" i="3"/>
  <c r="AL75" i="3"/>
  <c r="AM75" i="3" s="1"/>
  <c r="AN75" i="3" s="1"/>
  <c r="L75" i="3"/>
  <c r="AQ84" i="3"/>
  <c r="S84" i="3"/>
  <c r="AR84" i="3"/>
  <c r="AL84" i="3"/>
  <c r="AM84" i="3" s="1"/>
  <c r="AN84" i="3" s="1"/>
  <c r="AK84" i="3"/>
  <c r="AP84" i="3" s="1"/>
  <c r="K84" i="3"/>
  <c r="AS84" i="3"/>
  <c r="D84" i="3"/>
  <c r="AQ92" i="3"/>
  <c r="S92" i="3"/>
  <c r="AR92" i="3"/>
  <c r="AL92" i="3"/>
  <c r="AM92" i="3" s="1"/>
  <c r="AN92" i="3" s="1"/>
  <c r="AK92" i="3"/>
  <c r="AP92" i="3" s="1"/>
  <c r="K92" i="3"/>
  <c r="AS92" i="3"/>
  <c r="D92" i="3"/>
  <c r="AQ100" i="3"/>
  <c r="S100" i="3"/>
  <c r="AR100" i="3"/>
  <c r="AL100" i="3"/>
  <c r="AM100" i="3" s="1"/>
  <c r="AN100" i="3" s="1"/>
  <c r="AK100" i="3"/>
  <c r="AP100" i="3" s="1"/>
  <c r="K100" i="3"/>
  <c r="AS100" i="3"/>
  <c r="AL108" i="3"/>
  <c r="AM108" i="3" s="1"/>
  <c r="AN108" i="3" s="1"/>
  <c r="AQ108" i="3"/>
  <c r="S108" i="3"/>
  <c r="AR108" i="3"/>
  <c r="K108" i="3"/>
  <c r="AS108" i="3"/>
  <c r="AK108" i="3"/>
  <c r="AP108" i="3" s="1"/>
  <c r="AQ171" i="3"/>
  <c r="S171" i="3"/>
  <c r="AK171" i="3"/>
  <c r="K171" i="3"/>
  <c r="AR171" i="3"/>
  <c r="AS171" i="3"/>
  <c r="AL171" i="3"/>
  <c r="AM171" i="3" s="1"/>
  <c r="AN171" i="3" s="1"/>
  <c r="AS141" i="3"/>
  <c r="AK141" i="3"/>
  <c r="AL141" i="3"/>
  <c r="AM141" i="3" s="1"/>
  <c r="AN141" i="3" s="1"/>
  <c r="S141" i="3"/>
  <c r="K141" i="3"/>
  <c r="AQ141" i="3"/>
  <c r="AR141" i="3"/>
  <c r="AS149" i="3"/>
  <c r="AK149" i="3"/>
  <c r="AP149" i="3" s="1"/>
  <c r="AL149" i="3"/>
  <c r="AM149" i="3" s="1"/>
  <c r="AN149" i="3" s="1"/>
  <c r="S149" i="3"/>
  <c r="K149" i="3"/>
  <c r="AQ149" i="3"/>
  <c r="AR149" i="3"/>
  <c r="AR109" i="3"/>
  <c r="K109" i="3"/>
  <c r="AS109" i="3"/>
  <c r="AK109" i="3"/>
  <c r="S109" i="3"/>
  <c r="AQ109" i="3"/>
  <c r="AL109" i="3"/>
  <c r="AM109" i="3" s="1"/>
  <c r="AN109" i="3" s="1"/>
  <c r="AL117" i="3"/>
  <c r="AM117" i="3" s="1"/>
  <c r="AN117" i="3" s="1"/>
  <c r="AR117" i="3"/>
  <c r="S117" i="3"/>
  <c r="AS117" i="3"/>
  <c r="K117" i="3"/>
  <c r="AQ117" i="3"/>
  <c r="AK117" i="3"/>
  <c r="AL125" i="3"/>
  <c r="AM125" i="3" s="1"/>
  <c r="AN125" i="3" s="1"/>
  <c r="AR125" i="3"/>
  <c r="S125" i="3"/>
  <c r="AQ125" i="3"/>
  <c r="AK125" i="3"/>
  <c r="AP125" i="3" s="1"/>
  <c r="AS125" i="3"/>
  <c r="K125" i="3"/>
  <c r="AL133" i="3"/>
  <c r="AM133" i="3" s="1"/>
  <c r="AN133" i="3" s="1"/>
  <c r="AR133" i="3"/>
  <c r="S133" i="3"/>
  <c r="AQ133" i="3"/>
  <c r="AK133" i="3"/>
  <c r="AS133" i="3"/>
  <c r="K133" i="3"/>
  <c r="AL162" i="3"/>
  <c r="AM162" i="3" s="1"/>
  <c r="AN162" i="3" s="1"/>
  <c r="AS162" i="3"/>
  <c r="K162" i="3"/>
  <c r="AK162" i="3"/>
  <c r="AP162" i="3" s="1"/>
  <c r="AR162" i="3"/>
  <c r="S162" i="3"/>
  <c r="AQ162" i="3"/>
  <c r="AR118" i="3"/>
  <c r="K118" i="3"/>
  <c r="AK118" i="3"/>
  <c r="AQ118" i="3"/>
  <c r="AL118" i="3"/>
  <c r="AM118" i="3" s="1"/>
  <c r="AN118" i="3" s="1"/>
  <c r="AS118" i="3"/>
  <c r="S118" i="3"/>
  <c r="AR126" i="3"/>
  <c r="K126" i="3"/>
  <c r="AK126" i="3"/>
  <c r="AQ126" i="3"/>
  <c r="AL126" i="3"/>
  <c r="AM126" i="3" s="1"/>
  <c r="AN126" i="3" s="1"/>
  <c r="S126" i="3"/>
  <c r="AS126" i="3"/>
  <c r="AQ134" i="3"/>
  <c r="S134" i="3"/>
  <c r="AR134" i="3"/>
  <c r="K134" i="3"/>
  <c r="AS134" i="3"/>
  <c r="AK134" i="3"/>
  <c r="AL134" i="3"/>
  <c r="AM134" i="3" s="1"/>
  <c r="AN134" i="3" s="1"/>
  <c r="AQ142" i="3"/>
  <c r="S142" i="3"/>
  <c r="AR142" i="3"/>
  <c r="K142" i="3"/>
  <c r="AS142" i="3"/>
  <c r="AK142" i="3"/>
  <c r="AL142" i="3"/>
  <c r="AM142" i="3" s="1"/>
  <c r="AN142" i="3" s="1"/>
  <c r="AQ150" i="3"/>
  <c r="S150" i="3"/>
  <c r="AR150" i="3"/>
  <c r="K150" i="3"/>
  <c r="AS150" i="3"/>
  <c r="AK150" i="3"/>
  <c r="AL150" i="3"/>
  <c r="AM150" i="3" s="1"/>
  <c r="AN150" i="3" s="1"/>
  <c r="AL166" i="3"/>
  <c r="AS166" i="3"/>
  <c r="AK166" i="3"/>
  <c r="AP166" i="3" s="1"/>
  <c r="AR166" i="3"/>
  <c r="AM166" i="3"/>
  <c r="AN166" i="3" s="1"/>
  <c r="S166" i="3"/>
  <c r="K166" i="3"/>
  <c r="AQ166" i="3"/>
  <c r="AQ175" i="3"/>
  <c r="S175" i="3"/>
  <c r="AK175" i="3"/>
  <c r="K175" i="3"/>
  <c r="AS175" i="3"/>
  <c r="AL175" i="3"/>
  <c r="AM175" i="3" s="1"/>
  <c r="AN175" i="3" s="1"/>
  <c r="AR175" i="3"/>
  <c r="AL192" i="3"/>
  <c r="AM192" i="3" s="1"/>
  <c r="AN192" i="3" s="1"/>
  <c r="K192" i="3"/>
  <c r="AS192" i="3"/>
  <c r="AQ192" i="3"/>
  <c r="AK192" i="3"/>
  <c r="AP192" i="3" s="1"/>
  <c r="AR192" i="3"/>
  <c r="S192" i="3"/>
  <c r="AR161" i="3"/>
  <c r="K161" i="3"/>
  <c r="AQ161" i="3"/>
  <c r="AL161" i="3"/>
  <c r="AM161" i="3" s="1"/>
  <c r="AN161" i="3" s="1"/>
  <c r="AS161" i="3"/>
  <c r="S161" i="3"/>
  <c r="AK161" i="3"/>
  <c r="AP161" i="3" s="1"/>
  <c r="AQ169" i="3"/>
  <c r="S169" i="3"/>
  <c r="AK169" i="3"/>
  <c r="AP169" i="3" s="1"/>
  <c r="K169" i="3"/>
  <c r="AL169" i="3"/>
  <c r="AM169" i="3" s="1"/>
  <c r="AN169" i="3" s="1"/>
  <c r="AR169" i="3"/>
  <c r="AS169" i="3"/>
  <c r="AS176" i="3"/>
  <c r="AK176" i="3"/>
  <c r="AR176" i="3"/>
  <c r="S176" i="3"/>
  <c r="AL176" i="3"/>
  <c r="AM176" i="3" s="1"/>
  <c r="AN176" i="3" s="1"/>
  <c r="K176" i="3"/>
  <c r="AQ176" i="3"/>
  <c r="AL190" i="3"/>
  <c r="AM190" i="3" s="1"/>
  <c r="AN190" i="3" s="1"/>
  <c r="K190" i="3"/>
  <c r="AS190" i="3"/>
  <c r="AQ190" i="3"/>
  <c r="AK190" i="3"/>
  <c r="S190" i="3"/>
  <c r="AR190" i="3"/>
  <c r="AL196" i="3"/>
  <c r="AM196" i="3" s="1"/>
  <c r="AN196" i="3" s="1"/>
  <c r="AS196" i="3"/>
  <c r="AR196" i="3"/>
  <c r="K196" i="3"/>
  <c r="S196" i="3"/>
  <c r="AQ196" i="3"/>
  <c r="AK196" i="3"/>
  <c r="AS202" i="3"/>
  <c r="AK202" i="3"/>
  <c r="AR202" i="3"/>
  <c r="S202" i="3"/>
  <c r="AL202" i="3"/>
  <c r="AM202" i="3" s="1"/>
  <c r="AN202" i="3" s="1"/>
  <c r="K202" i="3"/>
  <c r="AQ202" i="3"/>
  <c r="AL241" i="3"/>
  <c r="AM241" i="3" s="1"/>
  <c r="AN241" i="3" s="1"/>
  <c r="AS241" i="3"/>
  <c r="AK241" i="3"/>
  <c r="AQ241" i="3"/>
  <c r="S241" i="3"/>
  <c r="K241" i="3"/>
  <c r="AR241" i="3"/>
  <c r="AR195" i="3"/>
  <c r="K195" i="3"/>
  <c r="AL195" i="3"/>
  <c r="AM195" i="3" s="1"/>
  <c r="AN195" i="3" s="1"/>
  <c r="AS195" i="3"/>
  <c r="AK195" i="3"/>
  <c r="AP195" i="3" s="1"/>
  <c r="AQ195" i="3"/>
  <c r="S195" i="3"/>
  <c r="AQ203" i="3"/>
  <c r="S203" i="3"/>
  <c r="AR203" i="3"/>
  <c r="AL203" i="3"/>
  <c r="AM203" i="3" s="1"/>
  <c r="AN203" i="3" s="1"/>
  <c r="AK203" i="3"/>
  <c r="K203" i="3"/>
  <c r="AS203" i="3"/>
  <c r="AL215" i="3"/>
  <c r="AM215" i="3" s="1"/>
  <c r="AN215" i="3" s="1"/>
  <c r="AS215" i="3"/>
  <c r="AK215" i="3"/>
  <c r="AP215" i="3" s="1"/>
  <c r="AQ215" i="3"/>
  <c r="S215" i="3"/>
  <c r="AR215" i="3"/>
  <c r="K215" i="3"/>
  <c r="AS212" i="3"/>
  <c r="AK212" i="3"/>
  <c r="AR212" i="3"/>
  <c r="S212" i="3"/>
  <c r="AQ212" i="3"/>
  <c r="AL212" i="3"/>
  <c r="AM212" i="3" s="1"/>
  <c r="AN212" i="3" s="1"/>
  <c r="K212" i="3"/>
  <c r="AL224" i="3"/>
  <c r="AM224" i="3" s="1"/>
  <c r="AN224" i="3" s="1"/>
  <c r="AS224" i="3"/>
  <c r="AR224" i="3"/>
  <c r="S224" i="3"/>
  <c r="K224" i="3"/>
  <c r="AQ224" i="3"/>
  <c r="AK224" i="3"/>
  <c r="AL228" i="3"/>
  <c r="AM228" i="3" s="1"/>
  <c r="AN228" i="3" s="1"/>
  <c r="AS228" i="3"/>
  <c r="AQ228" i="3"/>
  <c r="S228" i="3"/>
  <c r="AR228" i="3"/>
  <c r="AK228" i="3"/>
  <c r="K228" i="3"/>
  <c r="AL237" i="3"/>
  <c r="AM237" i="3" s="1"/>
  <c r="AN237" i="3" s="1"/>
  <c r="AQ237" i="3"/>
  <c r="AK237" i="3"/>
  <c r="K237" i="3"/>
  <c r="AR237" i="3"/>
  <c r="S237" i="3"/>
  <c r="AS237" i="3"/>
  <c r="AL245" i="3"/>
  <c r="AS245" i="3"/>
  <c r="AK245" i="3"/>
  <c r="AQ245" i="3"/>
  <c r="AM245" i="3"/>
  <c r="AN245" i="3" s="1"/>
  <c r="S245" i="3"/>
  <c r="K245" i="3"/>
  <c r="AR245" i="3"/>
  <c r="AR223" i="3"/>
  <c r="K223" i="3"/>
  <c r="AQ223" i="3"/>
  <c r="AL223" i="3"/>
  <c r="AM223" i="3" s="1"/>
  <c r="AN223" i="3" s="1"/>
  <c r="AK223" i="3"/>
  <c r="AS223" i="3"/>
  <c r="S223" i="3"/>
  <c r="AR231" i="3"/>
  <c r="K231" i="3"/>
  <c r="AQ231" i="3"/>
  <c r="S231" i="3"/>
  <c r="AS231" i="3"/>
  <c r="AK231" i="3"/>
  <c r="AL231" i="3"/>
  <c r="AM231" i="3" s="1"/>
  <c r="AN231" i="3" s="1"/>
  <c r="AS250" i="3"/>
  <c r="AK250" i="3"/>
  <c r="AQ250" i="3"/>
  <c r="AL250" i="3"/>
  <c r="AM250" i="3" s="1"/>
  <c r="AN250" i="3" s="1"/>
  <c r="K250" i="3"/>
  <c r="AR250" i="3"/>
  <c r="S250" i="3"/>
  <c r="AR242" i="3"/>
  <c r="K242" i="3"/>
  <c r="AQ242" i="3"/>
  <c r="S242" i="3"/>
  <c r="AS242" i="3"/>
  <c r="AK242" i="3"/>
  <c r="AL242" i="3"/>
  <c r="AM242" i="3" s="1"/>
  <c r="AN242" i="3" s="1"/>
  <c r="AL255" i="3"/>
  <c r="AS255" i="3"/>
  <c r="AK255" i="3"/>
  <c r="AP255" i="3" s="1"/>
  <c r="AQ255" i="3"/>
  <c r="AM255" i="3"/>
  <c r="AN255" i="3" s="1"/>
  <c r="S255" i="3"/>
  <c r="AR255" i="3"/>
  <c r="K255" i="3"/>
  <c r="AQ251" i="3"/>
  <c r="S251" i="3"/>
  <c r="AS251" i="3"/>
  <c r="AR251" i="3"/>
  <c r="AL251" i="3"/>
  <c r="AM251" i="3" s="1"/>
  <c r="AN251" i="3" s="1"/>
  <c r="K251" i="3"/>
  <c r="AK251" i="3"/>
  <c r="AR259" i="3"/>
  <c r="K259" i="3"/>
  <c r="AS259" i="3"/>
  <c r="S259" i="3"/>
  <c r="AQ259" i="3"/>
  <c r="AL259" i="3"/>
  <c r="AM259" i="3" s="1"/>
  <c r="AN259" i="3" s="1"/>
  <c r="AK259" i="3"/>
  <c r="AS264" i="3"/>
  <c r="AK264" i="3"/>
  <c r="AR264" i="3"/>
  <c r="K264" i="3"/>
  <c r="AL264" i="3"/>
  <c r="AM264" i="3" s="1"/>
  <c r="AN264" i="3" s="1"/>
  <c r="S264" i="3"/>
  <c r="AQ264" i="3"/>
  <c r="AJ106" i="3"/>
  <c r="AJ70" i="3"/>
  <c r="E125" i="3"/>
  <c r="L76" i="3"/>
  <c r="AJ74" i="3"/>
  <c r="AJ66" i="3"/>
  <c r="AJ131" i="3"/>
  <c r="E81" i="3"/>
  <c r="F81" i="3" s="1"/>
  <c r="E109" i="3"/>
  <c r="E127" i="3"/>
  <c r="D148" i="3"/>
  <c r="D66" i="3"/>
  <c r="D74" i="3"/>
  <c r="D89" i="3"/>
  <c r="D97" i="3"/>
  <c r="D105" i="3"/>
  <c r="E82" i="3"/>
  <c r="E90" i="3"/>
  <c r="E98" i="3"/>
  <c r="D159" i="3"/>
  <c r="E164" i="3"/>
  <c r="D182" i="3"/>
  <c r="D116" i="3"/>
  <c r="D124" i="3"/>
  <c r="D132" i="3"/>
  <c r="E139" i="3"/>
  <c r="E147" i="3"/>
  <c r="E155" i="3"/>
  <c r="D115" i="3"/>
  <c r="D123" i="3"/>
  <c r="D131" i="3"/>
  <c r="D139" i="3"/>
  <c r="D155" i="3"/>
  <c r="E162" i="3"/>
  <c r="D186" i="3"/>
  <c r="E142" i="3"/>
  <c r="E150" i="3"/>
  <c r="E159" i="3"/>
  <c r="D167" i="3"/>
  <c r="D178" i="3"/>
  <c r="E202" i="3"/>
  <c r="D171" i="3"/>
  <c r="D179" i="3"/>
  <c r="D160" i="3"/>
  <c r="E171" i="3"/>
  <c r="E187" i="3"/>
  <c r="E204" i="3"/>
  <c r="D197" i="3"/>
  <c r="D205" i="3"/>
  <c r="D196" i="3"/>
  <c r="D204" i="3"/>
  <c r="F204" i="3" s="1"/>
  <c r="E212" i="3"/>
  <c r="D213" i="3"/>
  <c r="E205" i="3"/>
  <c r="E213" i="3"/>
  <c r="E222" i="3"/>
  <c r="E216" i="3"/>
  <c r="D223" i="3"/>
  <c r="D231" i="3"/>
  <c r="D215" i="3"/>
  <c r="E223" i="3"/>
  <c r="D242" i="3"/>
  <c r="D228" i="3"/>
  <c r="E243" i="3"/>
  <c r="F243" i="3" s="1"/>
  <c r="D239" i="3"/>
  <c r="D247" i="3"/>
  <c r="D250" i="3"/>
  <c r="E248" i="3"/>
  <c r="E249" i="3"/>
  <c r="E257" i="3"/>
  <c r="D255" i="3"/>
  <c r="E262" i="3"/>
  <c r="E261" i="3"/>
  <c r="AJ119" i="3"/>
  <c r="AJ141" i="3"/>
  <c r="AJ67" i="3"/>
  <c r="AP67" i="3" s="1"/>
  <c r="AJ75" i="3"/>
  <c r="AJ91" i="3"/>
  <c r="AJ107" i="3"/>
  <c r="AJ117" i="3"/>
  <c r="AJ109" i="3"/>
  <c r="AJ178" i="3"/>
  <c r="AJ120" i="3"/>
  <c r="AJ136" i="3"/>
  <c r="AJ144" i="3"/>
  <c r="AJ164" i="3"/>
  <c r="AJ182" i="3"/>
  <c r="AJ175" i="3"/>
  <c r="AJ183" i="3"/>
  <c r="AJ167" i="3"/>
  <c r="AJ190" i="3"/>
  <c r="AJ198" i="3"/>
  <c r="AJ212" i="3"/>
  <c r="AJ202" i="3"/>
  <c r="AJ214" i="3"/>
  <c r="AJ226" i="3"/>
  <c r="AJ237" i="3"/>
  <c r="AJ223" i="3"/>
  <c r="AP223" i="3" s="1"/>
  <c r="AJ231" i="3"/>
  <c r="AJ245" i="3"/>
  <c r="AJ253" i="3"/>
  <c r="AJ254" i="3"/>
  <c r="AJ261" i="3"/>
  <c r="AJ264" i="3"/>
  <c r="AL72" i="3"/>
  <c r="AM72" i="3" s="1"/>
  <c r="AN72" i="3" s="1"/>
  <c r="AR72" i="3"/>
  <c r="S72" i="3"/>
  <c r="AK72" i="3"/>
  <c r="K72" i="3"/>
  <c r="AQ72" i="3"/>
  <c r="L72" i="3"/>
  <c r="AS72" i="3"/>
  <c r="AS81" i="3"/>
  <c r="AK81" i="3"/>
  <c r="AL81" i="3"/>
  <c r="AM81" i="3" s="1"/>
  <c r="AN81" i="3" s="1"/>
  <c r="K81" i="3"/>
  <c r="AQ81" i="3"/>
  <c r="AR81" i="3"/>
  <c r="S81" i="3"/>
  <c r="AR69" i="3"/>
  <c r="K69" i="3"/>
  <c r="AK69" i="3"/>
  <c r="AS69" i="3"/>
  <c r="S69" i="3"/>
  <c r="AQ69" i="3"/>
  <c r="AL69" i="3"/>
  <c r="AM69" i="3" s="1"/>
  <c r="AN69" i="3" s="1"/>
  <c r="L69" i="3"/>
  <c r="AQ102" i="3"/>
  <c r="S102" i="3"/>
  <c r="AR102" i="3"/>
  <c r="AL102" i="3"/>
  <c r="AM102" i="3" s="1"/>
  <c r="AN102" i="3" s="1"/>
  <c r="AK102" i="3"/>
  <c r="K102" i="3"/>
  <c r="AS102" i="3"/>
  <c r="AS151" i="3"/>
  <c r="AK151" i="3"/>
  <c r="AL151" i="3"/>
  <c r="AM151" i="3" s="1"/>
  <c r="AN151" i="3" s="1"/>
  <c r="S151" i="3"/>
  <c r="K151" i="3"/>
  <c r="AQ151" i="3"/>
  <c r="AR151" i="3"/>
  <c r="AL156" i="3"/>
  <c r="AM156" i="3" s="1"/>
  <c r="AN156" i="3" s="1"/>
  <c r="AS156" i="3"/>
  <c r="K156" i="3"/>
  <c r="AK156" i="3"/>
  <c r="AR156" i="3"/>
  <c r="S156" i="3"/>
  <c r="AQ156" i="3"/>
  <c r="AR128" i="3"/>
  <c r="K128" i="3"/>
  <c r="AK128" i="3"/>
  <c r="AP128" i="3" s="1"/>
  <c r="AQ128" i="3"/>
  <c r="AL128" i="3"/>
  <c r="AM128" i="3" s="1"/>
  <c r="AN128" i="3" s="1"/>
  <c r="AS128" i="3"/>
  <c r="S128" i="3"/>
  <c r="AL168" i="3"/>
  <c r="AM168" i="3" s="1"/>
  <c r="AN168" i="3" s="1"/>
  <c r="AS168" i="3"/>
  <c r="AK168" i="3"/>
  <c r="AR168" i="3"/>
  <c r="S168" i="3"/>
  <c r="K168" i="3"/>
  <c r="AQ168" i="3"/>
  <c r="AR163" i="3"/>
  <c r="K163" i="3"/>
  <c r="AQ163" i="3"/>
  <c r="AL163" i="3"/>
  <c r="AM163" i="3" s="1"/>
  <c r="AN163" i="3" s="1"/>
  <c r="AS163" i="3"/>
  <c r="S163" i="3"/>
  <c r="AK163" i="3"/>
  <c r="AL194" i="3"/>
  <c r="AM194" i="3" s="1"/>
  <c r="AN194" i="3" s="1"/>
  <c r="K194" i="3"/>
  <c r="AS194" i="3"/>
  <c r="AQ194" i="3"/>
  <c r="AK194" i="3"/>
  <c r="AR194" i="3"/>
  <c r="S194" i="3"/>
  <c r="AQ205" i="3"/>
  <c r="S205" i="3"/>
  <c r="AK205" i="3"/>
  <c r="AP205" i="3" s="1"/>
  <c r="AS205" i="3"/>
  <c r="AL205" i="3"/>
  <c r="AM205" i="3" s="1"/>
  <c r="AN205" i="3" s="1"/>
  <c r="K205" i="3"/>
  <c r="AR205" i="3"/>
  <c r="AL230" i="3"/>
  <c r="AM230" i="3" s="1"/>
  <c r="AN230" i="3" s="1"/>
  <c r="AS230" i="3"/>
  <c r="AK230" i="3"/>
  <c r="AQ230" i="3"/>
  <c r="S230" i="3"/>
  <c r="AR230" i="3"/>
  <c r="K230" i="3"/>
  <c r="AR225" i="3"/>
  <c r="K225" i="3"/>
  <c r="AQ225" i="3"/>
  <c r="AL225" i="3"/>
  <c r="AM225" i="3" s="1"/>
  <c r="AN225" i="3" s="1"/>
  <c r="AK225" i="3"/>
  <c r="AS225" i="3"/>
  <c r="S225" i="3"/>
  <c r="AR244" i="3"/>
  <c r="K244" i="3"/>
  <c r="AQ244" i="3"/>
  <c r="S244" i="3"/>
  <c r="AS244" i="3"/>
  <c r="AK244" i="3"/>
  <c r="AL244" i="3"/>
  <c r="AM244" i="3" s="1"/>
  <c r="AN244" i="3" s="1"/>
  <c r="E111" i="3"/>
  <c r="D136" i="3"/>
  <c r="E206" i="3"/>
  <c r="D225" i="3"/>
  <c r="D233" i="3"/>
  <c r="E225" i="3"/>
  <c r="D230" i="3"/>
  <c r="D257" i="3"/>
  <c r="AJ69" i="3"/>
  <c r="AJ230" i="3"/>
  <c r="AJ225" i="3"/>
  <c r="AJ247" i="3"/>
  <c r="L78" i="3"/>
  <c r="L111" i="3"/>
  <c r="L128" i="3"/>
  <c r="L156" i="3"/>
  <c r="L163" i="3"/>
  <c r="L177" i="3"/>
  <c r="L183" i="3"/>
  <c r="L204" i="3"/>
  <c r="L236" i="3"/>
  <c r="L230" i="3"/>
  <c r="L239" i="3"/>
  <c r="AS85" i="3"/>
  <c r="AK85" i="3"/>
  <c r="AQ85" i="3"/>
  <c r="AL85" i="3"/>
  <c r="AM85" i="3" s="1"/>
  <c r="AN85" i="3" s="1"/>
  <c r="K85" i="3"/>
  <c r="AR85" i="3"/>
  <c r="S85" i="3"/>
  <c r="AS93" i="3"/>
  <c r="AK93" i="3"/>
  <c r="AQ93" i="3"/>
  <c r="AL93" i="3"/>
  <c r="AM93" i="3" s="1"/>
  <c r="AN93" i="3" s="1"/>
  <c r="K93" i="3"/>
  <c r="AR93" i="3"/>
  <c r="S93" i="3"/>
  <c r="AS101" i="3"/>
  <c r="AK101" i="3"/>
  <c r="AP101" i="3" s="1"/>
  <c r="AQ101" i="3"/>
  <c r="AL101" i="3"/>
  <c r="AM101" i="3" s="1"/>
  <c r="AN101" i="3" s="1"/>
  <c r="K101" i="3"/>
  <c r="AR101" i="3"/>
  <c r="S101" i="3"/>
  <c r="AS83" i="3"/>
  <c r="AK83" i="3"/>
  <c r="AP83" i="3" s="1"/>
  <c r="AQ83" i="3"/>
  <c r="AL83" i="3"/>
  <c r="AM83" i="3" s="1"/>
  <c r="AN83" i="3" s="1"/>
  <c r="K83" i="3"/>
  <c r="AR83" i="3"/>
  <c r="S83" i="3"/>
  <c r="AR71" i="3"/>
  <c r="K71" i="3"/>
  <c r="AK71" i="3"/>
  <c r="S71" i="3"/>
  <c r="AQ71" i="3"/>
  <c r="AL71" i="3"/>
  <c r="AM71" i="3" s="1"/>
  <c r="AN71" i="3" s="1"/>
  <c r="L71" i="3"/>
  <c r="AS71" i="3"/>
  <c r="AR79" i="3"/>
  <c r="K79" i="3"/>
  <c r="AQ79" i="3"/>
  <c r="S79" i="3"/>
  <c r="AL79" i="3"/>
  <c r="AM79" i="3" s="1"/>
  <c r="AN79" i="3" s="1"/>
  <c r="AK79" i="3"/>
  <c r="AS79" i="3"/>
  <c r="AQ88" i="3"/>
  <c r="S88" i="3"/>
  <c r="AR88" i="3"/>
  <c r="AL88" i="3"/>
  <c r="AM88" i="3" s="1"/>
  <c r="AN88" i="3" s="1"/>
  <c r="AK88" i="3"/>
  <c r="AP88" i="3" s="1"/>
  <c r="K88" i="3"/>
  <c r="AS88" i="3"/>
  <c r="D88" i="3"/>
  <c r="AQ96" i="3"/>
  <c r="S96" i="3"/>
  <c r="AR96" i="3"/>
  <c r="AL96" i="3"/>
  <c r="AM96" i="3" s="1"/>
  <c r="AN96" i="3" s="1"/>
  <c r="AK96" i="3"/>
  <c r="AP96" i="3" s="1"/>
  <c r="K96" i="3"/>
  <c r="AS96" i="3"/>
  <c r="D96" i="3"/>
  <c r="AQ104" i="3"/>
  <c r="S104" i="3"/>
  <c r="AR104" i="3"/>
  <c r="AL104" i="3"/>
  <c r="AM104" i="3" s="1"/>
  <c r="AN104" i="3" s="1"/>
  <c r="AK104" i="3"/>
  <c r="AP104" i="3" s="1"/>
  <c r="K104" i="3"/>
  <c r="AS104" i="3"/>
  <c r="AL112" i="3"/>
  <c r="AM112" i="3" s="1"/>
  <c r="AN112" i="3" s="1"/>
  <c r="AQ112" i="3"/>
  <c r="S112" i="3"/>
  <c r="AR112" i="3"/>
  <c r="AS112" i="3"/>
  <c r="AK112" i="3"/>
  <c r="K112" i="3"/>
  <c r="AS137" i="3"/>
  <c r="AK137" i="3"/>
  <c r="AL137" i="3"/>
  <c r="AM137" i="3" s="1"/>
  <c r="AN137" i="3" s="1"/>
  <c r="S137" i="3"/>
  <c r="K137" i="3"/>
  <c r="AQ137" i="3"/>
  <c r="AR137" i="3"/>
  <c r="AS145" i="3"/>
  <c r="AK145" i="3"/>
  <c r="AP145" i="3" s="1"/>
  <c r="AL145" i="3"/>
  <c r="AM145" i="3" s="1"/>
  <c r="AN145" i="3" s="1"/>
  <c r="S145" i="3"/>
  <c r="K145" i="3"/>
  <c r="AQ145" i="3"/>
  <c r="AR145" i="3"/>
  <c r="AS153" i="3"/>
  <c r="AK153" i="3"/>
  <c r="AP153" i="3" s="1"/>
  <c r="AL153" i="3"/>
  <c r="AM153" i="3" s="1"/>
  <c r="AN153" i="3" s="1"/>
  <c r="S153" i="3"/>
  <c r="K153" i="3"/>
  <c r="AQ153" i="3"/>
  <c r="AR153" i="3"/>
  <c r="AR113" i="3"/>
  <c r="K113" i="3"/>
  <c r="AS113" i="3"/>
  <c r="AK113" i="3"/>
  <c r="S113" i="3"/>
  <c r="AQ113" i="3"/>
  <c r="AL113" i="3"/>
  <c r="AM113" i="3" s="1"/>
  <c r="AN113" i="3" s="1"/>
  <c r="AL121" i="3"/>
  <c r="AM121" i="3" s="1"/>
  <c r="AN121" i="3" s="1"/>
  <c r="AR121" i="3"/>
  <c r="S121" i="3"/>
  <c r="AS121" i="3"/>
  <c r="AK121" i="3"/>
  <c r="AQ121" i="3"/>
  <c r="K121" i="3"/>
  <c r="AL129" i="3"/>
  <c r="AM129" i="3" s="1"/>
  <c r="AN129" i="3" s="1"/>
  <c r="AR129" i="3"/>
  <c r="S129" i="3"/>
  <c r="AQ129" i="3"/>
  <c r="AK129" i="3"/>
  <c r="AS129" i="3"/>
  <c r="K129" i="3"/>
  <c r="AL158" i="3"/>
  <c r="AM158" i="3" s="1"/>
  <c r="AN158" i="3" s="1"/>
  <c r="AS158" i="3"/>
  <c r="K158" i="3"/>
  <c r="AK158" i="3"/>
  <c r="AR158" i="3"/>
  <c r="S158" i="3"/>
  <c r="AQ158" i="3"/>
  <c r="AQ179" i="3"/>
  <c r="S179" i="3"/>
  <c r="AK179" i="3"/>
  <c r="K179" i="3"/>
  <c r="AR179" i="3"/>
  <c r="AL179" i="3"/>
  <c r="AM179" i="3" s="1"/>
  <c r="AN179" i="3" s="1"/>
  <c r="AS179" i="3"/>
  <c r="AR122" i="3"/>
  <c r="K122" i="3"/>
  <c r="AK122" i="3"/>
  <c r="AQ122" i="3"/>
  <c r="AL122" i="3"/>
  <c r="AM122" i="3" s="1"/>
  <c r="AN122" i="3" s="1"/>
  <c r="S122" i="3"/>
  <c r="AS122" i="3"/>
  <c r="AR130" i="3"/>
  <c r="K130" i="3"/>
  <c r="AK130" i="3"/>
  <c r="AP130" i="3" s="1"/>
  <c r="AQ130" i="3"/>
  <c r="AL130" i="3"/>
  <c r="AM130" i="3" s="1"/>
  <c r="AN130" i="3" s="1"/>
  <c r="AS130" i="3"/>
  <c r="S130" i="3"/>
  <c r="AQ138" i="3"/>
  <c r="S138" i="3"/>
  <c r="AR138" i="3"/>
  <c r="K138" i="3"/>
  <c r="AS138" i="3"/>
  <c r="AK138" i="3"/>
  <c r="AP138" i="3" s="1"/>
  <c r="AL138" i="3"/>
  <c r="AM138" i="3" s="1"/>
  <c r="AN138" i="3" s="1"/>
  <c r="AQ146" i="3"/>
  <c r="S146" i="3"/>
  <c r="AR146" i="3"/>
  <c r="K146" i="3"/>
  <c r="AS146" i="3"/>
  <c r="AK146" i="3"/>
  <c r="AL146" i="3"/>
  <c r="AM146" i="3" s="1"/>
  <c r="AN146" i="3" s="1"/>
  <c r="AQ154" i="3"/>
  <c r="S154" i="3"/>
  <c r="AR154" i="3"/>
  <c r="K154" i="3"/>
  <c r="AS154" i="3"/>
  <c r="AK154" i="3"/>
  <c r="AP154" i="3" s="1"/>
  <c r="AL154" i="3"/>
  <c r="AM154" i="3" s="1"/>
  <c r="AN154" i="3" s="1"/>
  <c r="AQ173" i="3"/>
  <c r="S173" i="3"/>
  <c r="AK173" i="3"/>
  <c r="K173" i="3"/>
  <c r="AR173" i="3"/>
  <c r="AS173" i="3"/>
  <c r="AL173" i="3"/>
  <c r="AM173" i="3" s="1"/>
  <c r="AN173" i="3" s="1"/>
  <c r="AR187" i="3"/>
  <c r="AS187" i="3"/>
  <c r="S187" i="3"/>
  <c r="AQ187" i="3"/>
  <c r="AL187" i="3"/>
  <c r="AM187" i="3" s="1"/>
  <c r="AN187" i="3" s="1"/>
  <c r="AK187" i="3"/>
  <c r="K187" i="3"/>
  <c r="AR157" i="3"/>
  <c r="K157" i="3"/>
  <c r="AQ157" i="3"/>
  <c r="AL157" i="3"/>
  <c r="AM157" i="3" s="1"/>
  <c r="AN157" i="3" s="1"/>
  <c r="AS157" i="3"/>
  <c r="S157" i="3"/>
  <c r="AK157" i="3"/>
  <c r="AR165" i="3"/>
  <c r="K165" i="3"/>
  <c r="AQ165" i="3"/>
  <c r="S165" i="3"/>
  <c r="AS165" i="3"/>
  <c r="AK165" i="3"/>
  <c r="AL165" i="3"/>
  <c r="AM165" i="3" s="1"/>
  <c r="AN165" i="3" s="1"/>
  <c r="AS172" i="3"/>
  <c r="AK172" i="3"/>
  <c r="AR172" i="3"/>
  <c r="S172" i="3"/>
  <c r="AQ172" i="3"/>
  <c r="K172" i="3"/>
  <c r="AL172" i="3"/>
  <c r="AM172" i="3" s="1"/>
  <c r="AN172" i="3" s="1"/>
  <c r="AS180" i="3"/>
  <c r="AK180" i="3"/>
  <c r="AR180" i="3"/>
  <c r="S180" i="3"/>
  <c r="AQ180" i="3"/>
  <c r="AL180" i="3"/>
  <c r="AM180" i="3" s="1"/>
  <c r="AN180" i="3" s="1"/>
  <c r="K180" i="3"/>
  <c r="AR184" i="3"/>
  <c r="K184" i="3"/>
  <c r="AQ184" i="3"/>
  <c r="S184" i="3"/>
  <c r="AS184" i="3"/>
  <c r="AK184" i="3"/>
  <c r="AP184" i="3" s="1"/>
  <c r="AL184" i="3"/>
  <c r="AM184" i="3" s="1"/>
  <c r="AN184" i="3" s="1"/>
  <c r="AL200" i="3"/>
  <c r="AM200" i="3" s="1"/>
  <c r="AN200" i="3" s="1"/>
  <c r="AS200" i="3"/>
  <c r="AK200" i="3"/>
  <c r="AP200" i="3" s="1"/>
  <c r="AR200" i="3"/>
  <c r="K200" i="3"/>
  <c r="S200" i="3"/>
  <c r="AQ200" i="3"/>
  <c r="AQ209" i="3"/>
  <c r="S209" i="3"/>
  <c r="AK209" i="3"/>
  <c r="K209" i="3"/>
  <c r="AR209" i="3"/>
  <c r="AS209" i="3"/>
  <c r="AL209" i="3"/>
  <c r="AM209" i="3" s="1"/>
  <c r="AN209" i="3" s="1"/>
  <c r="AR191" i="3"/>
  <c r="K191" i="3"/>
  <c r="AS191" i="3"/>
  <c r="S191" i="3"/>
  <c r="AQ191" i="3"/>
  <c r="AL191" i="3"/>
  <c r="AM191" i="3" s="1"/>
  <c r="AN191" i="3" s="1"/>
  <c r="AK191" i="3"/>
  <c r="AR199" i="3"/>
  <c r="K199" i="3"/>
  <c r="AQ199" i="3"/>
  <c r="S199" i="3"/>
  <c r="AL199" i="3"/>
  <c r="AM199" i="3" s="1"/>
  <c r="AN199" i="3" s="1"/>
  <c r="AS199" i="3"/>
  <c r="AK199" i="3"/>
  <c r="AQ211" i="3"/>
  <c r="S211" i="3"/>
  <c r="AK211" i="3"/>
  <c r="K211" i="3"/>
  <c r="AS211" i="3"/>
  <c r="AR211" i="3"/>
  <c r="AL211" i="3"/>
  <c r="AM211" i="3" s="1"/>
  <c r="AN211" i="3" s="1"/>
  <c r="AS208" i="3"/>
  <c r="AK208" i="3"/>
  <c r="AR208" i="3"/>
  <c r="AL208" i="3"/>
  <c r="AM208" i="3" s="1"/>
  <c r="AN208" i="3" s="1"/>
  <c r="S208" i="3"/>
  <c r="K208" i="3"/>
  <c r="AQ208" i="3"/>
  <c r="AL220" i="3"/>
  <c r="AM220" i="3" s="1"/>
  <c r="AN220" i="3" s="1"/>
  <c r="AS220" i="3"/>
  <c r="AR220" i="3"/>
  <c r="S220" i="3"/>
  <c r="K220" i="3"/>
  <c r="AQ220" i="3"/>
  <c r="AK220" i="3"/>
  <c r="AR216" i="3"/>
  <c r="K216" i="3"/>
  <c r="AQ216" i="3"/>
  <c r="S216" i="3"/>
  <c r="AS216" i="3"/>
  <c r="AK216" i="3"/>
  <c r="AP216" i="3" s="1"/>
  <c r="AL216" i="3"/>
  <c r="AM216" i="3" s="1"/>
  <c r="AN216" i="3" s="1"/>
  <c r="AL232" i="3"/>
  <c r="AM232" i="3" s="1"/>
  <c r="AN232" i="3" s="1"/>
  <c r="AS232" i="3"/>
  <c r="AK232" i="3"/>
  <c r="AQ232" i="3"/>
  <c r="S232" i="3"/>
  <c r="AR232" i="3"/>
  <c r="K232" i="3"/>
  <c r="AS252" i="3"/>
  <c r="AK252" i="3"/>
  <c r="AQ252" i="3"/>
  <c r="AL252" i="3"/>
  <c r="AM252" i="3" s="1"/>
  <c r="AN252" i="3" s="1"/>
  <c r="K252" i="3"/>
  <c r="AR252" i="3"/>
  <c r="S252" i="3"/>
  <c r="AR219" i="3"/>
  <c r="K219" i="3"/>
  <c r="AQ219" i="3"/>
  <c r="AL219" i="3"/>
  <c r="AM219" i="3" s="1"/>
  <c r="AN219" i="3" s="1"/>
  <c r="AK219" i="3"/>
  <c r="AS219" i="3"/>
  <c r="S219" i="3"/>
  <c r="AR227" i="3"/>
  <c r="K227" i="3"/>
  <c r="AQ227" i="3"/>
  <c r="AL227" i="3"/>
  <c r="AM227" i="3" s="1"/>
  <c r="AN227" i="3" s="1"/>
  <c r="AK227" i="3"/>
  <c r="AS227" i="3"/>
  <c r="S227" i="3"/>
  <c r="AL235" i="3"/>
  <c r="AM235" i="3" s="1"/>
  <c r="AN235" i="3" s="1"/>
  <c r="AQ235" i="3"/>
  <c r="AK235" i="3"/>
  <c r="K235" i="3"/>
  <c r="S235" i="3"/>
  <c r="AR235" i="3"/>
  <c r="AS235" i="3"/>
  <c r="AR238" i="3"/>
  <c r="K238" i="3"/>
  <c r="AS238" i="3"/>
  <c r="S238" i="3"/>
  <c r="AK238" i="3"/>
  <c r="AP238" i="3" s="1"/>
  <c r="AQ238" i="3"/>
  <c r="AL238" i="3"/>
  <c r="AM238" i="3" s="1"/>
  <c r="AN238" i="3" s="1"/>
  <c r="AR246" i="3"/>
  <c r="K246" i="3"/>
  <c r="AQ246" i="3"/>
  <c r="S246" i="3"/>
  <c r="AS246" i="3"/>
  <c r="AK246" i="3"/>
  <c r="AP246" i="3" s="1"/>
  <c r="AL246" i="3"/>
  <c r="AM246" i="3" s="1"/>
  <c r="AN246" i="3" s="1"/>
  <c r="AS260" i="3"/>
  <c r="AK260" i="3"/>
  <c r="AR260" i="3"/>
  <c r="AL260" i="3"/>
  <c r="AM260" i="3" s="1"/>
  <c r="AN260" i="3" s="1"/>
  <c r="K260" i="3"/>
  <c r="AQ260" i="3"/>
  <c r="S260" i="3"/>
  <c r="AL258" i="3"/>
  <c r="AM258" i="3" s="1"/>
  <c r="AN258" i="3" s="1"/>
  <c r="K258" i="3"/>
  <c r="AS258" i="3"/>
  <c r="AQ258" i="3"/>
  <c r="AK258" i="3"/>
  <c r="AR258" i="3"/>
  <c r="S258" i="3"/>
  <c r="AQ263" i="3"/>
  <c r="S263" i="3"/>
  <c r="AL263" i="3"/>
  <c r="AM263" i="3" s="1"/>
  <c r="AN263" i="3" s="1"/>
  <c r="AR263" i="3"/>
  <c r="K263" i="3"/>
  <c r="AS263" i="3"/>
  <c r="AK263" i="3"/>
  <c r="AP263" i="3" s="1"/>
  <c r="AJ121" i="3"/>
  <c r="AJ102" i="3"/>
  <c r="E74" i="3"/>
  <c r="AJ76" i="3"/>
  <c r="L119" i="3"/>
  <c r="E83" i="3"/>
  <c r="E75" i="3"/>
  <c r="E67" i="3"/>
  <c r="E89" i="3"/>
  <c r="E97" i="3"/>
  <c r="E105" i="3"/>
  <c r="E113" i="3"/>
  <c r="D144" i="3"/>
  <c r="E79" i="3"/>
  <c r="D70" i="3"/>
  <c r="D85" i="3"/>
  <c r="D93" i="3"/>
  <c r="D101" i="3"/>
  <c r="D109" i="3"/>
  <c r="E129" i="3"/>
  <c r="D172" i="3"/>
  <c r="E86" i="3"/>
  <c r="E94" i="3"/>
  <c r="E102" i="3"/>
  <c r="E110" i="3"/>
  <c r="E118" i="3"/>
  <c r="E126" i="3"/>
  <c r="E134" i="3"/>
  <c r="D163" i="3"/>
  <c r="E168" i="3"/>
  <c r="D112" i="3"/>
  <c r="D128" i="3"/>
  <c r="E135" i="3"/>
  <c r="E143" i="3"/>
  <c r="E151" i="3"/>
  <c r="D119" i="3"/>
  <c r="D135" i="3"/>
  <c r="F135" i="3" s="1"/>
  <c r="D151" i="3"/>
  <c r="E158" i="3"/>
  <c r="D176" i="3"/>
  <c r="E138" i="3"/>
  <c r="E146" i="3"/>
  <c r="E154" i="3"/>
  <c r="E163" i="3"/>
  <c r="D170" i="3"/>
  <c r="D189" i="3"/>
  <c r="D175" i="3"/>
  <c r="D156" i="3"/>
  <c r="D191" i="3"/>
  <c r="E175" i="3"/>
  <c r="E183" i="3"/>
  <c r="E186" i="3"/>
  <c r="E208" i="3"/>
  <c r="E190" i="3"/>
  <c r="D212" i="3"/>
  <c r="D201" i="3"/>
  <c r="D214" i="3"/>
  <c r="D206" i="3"/>
  <c r="D192" i="3"/>
  <c r="D200" i="3"/>
  <c r="D207" i="3"/>
  <c r="D244" i="3"/>
  <c r="E209" i="3"/>
  <c r="E217" i="3"/>
  <c r="D219" i="3"/>
  <c r="D227" i="3"/>
  <c r="D235" i="3"/>
  <c r="E219" i="3"/>
  <c r="E227" i="3"/>
  <c r="E228" i="3"/>
  <c r="D236" i="3"/>
  <c r="E231" i="3"/>
  <c r="E239" i="3"/>
  <c r="D224" i="3"/>
  <c r="D232" i="3"/>
  <c r="D251" i="3"/>
  <c r="E252" i="3"/>
  <c r="E253" i="3"/>
  <c r="E258" i="3"/>
  <c r="D258" i="3"/>
  <c r="D261" i="3"/>
  <c r="E72" i="3"/>
  <c r="AJ133" i="3"/>
  <c r="AJ71" i="3"/>
  <c r="AJ79" i="3"/>
  <c r="AJ87" i="3"/>
  <c r="AJ95" i="3"/>
  <c r="AJ139" i="3"/>
  <c r="AJ113" i="3"/>
  <c r="AJ156" i="3"/>
  <c r="AJ172" i="3"/>
  <c r="AJ168" i="3"/>
  <c r="AJ171" i="3"/>
  <c r="AJ179" i="3"/>
  <c r="AJ163" i="3"/>
  <c r="AJ194" i="3"/>
  <c r="AJ189" i="3"/>
  <c r="AJ209" i="3"/>
  <c r="AJ232" i="3"/>
  <c r="AJ228" i="3"/>
  <c r="AJ219" i="3"/>
  <c r="AP219" i="3" s="1"/>
  <c r="AJ227" i="3"/>
  <c r="AJ241" i="3"/>
  <c r="AJ242" i="3"/>
  <c r="AJ250" i="3"/>
  <c r="AJ258" i="3"/>
  <c r="AJ260" i="3"/>
  <c r="L154" i="3"/>
  <c r="AL68" i="3"/>
  <c r="AM68" i="3" s="1"/>
  <c r="AN68" i="3" s="1"/>
  <c r="AR68" i="3"/>
  <c r="S68" i="3"/>
  <c r="AK68" i="3"/>
  <c r="AP68" i="3" s="1"/>
  <c r="L68" i="3"/>
  <c r="AQ68" i="3"/>
  <c r="AS68" i="3"/>
  <c r="K68" i="3"/>
  <c r="AS99" i="3"/>
  <c r="AK99" i="3"/>
  <c r="AP99" i="3" s="1"/>
  <c r="AQ99" i="3"/>
  <c r="AL99" i="3"/>
  <c r="AM99" i="3" s="1"/>
  <c r="AN99" i="3" s="1"/>
  <c r="K99" i="3"/>
  <c r="AR99" i="3"/>
  <c r="S99" i="3"/>
  <c r="AR77" i="3"/>
  <c r="K77" i="3"/>
  <c r="S77" i="3"/>
  <c r="AQ77" i="3"/>
  <c r="AS77" i="3"/>
  <c r="AL77" i="3"/>
  <c r="AM77" i="3" s="1"/>
  <c r="AN77" i="3" s="1"/>
  <c r="AK77" i="3"/>
  <c r="AL110" i="3"/>
  <c r="AM110" i="3" s="1"/>
  <c r="AN110" i="3" s="1"/>
  <c r="AQ110" i="3"/>
  <c r="S110" i="3"/>
  <c r="AR110" i="3"/>
  <c r="AS110" i="3"/>
  <c r="AK110" i="3"/>
  <c r="AP110" i="3" s="1"/>
  <c r="K110" i="3"/>
  <c r="AS143" i="3"/>
  <c r="AK143" i="3"/>
  <c r="AL143" i="3"/>
  <c r="AM143" i="3" s="1"/>
  <c r="AN143" i="3" s="1"/>
  <c r="S143" i="3"/>
  <c r="K143" i="3"/>
  <c r="AQ143" i="3"/>
  <c r="AR143" i="3"/>
  <c r="AL127" i="3"/>
  <c r="AM127" i="3" s="1"/>
  <c r="AN127" i="3" s="1"/>
  <c r="AR127" i="3"/>
  <c r="S127" i="3"/>
  <c r="AQ127" i="3"/>
  <c r="AK127" i="3"/>
  <c r="AS127" i="3"/>
  <c r="K127" i="3"/>
  <c r="AR120" i="3"/>
  <c r="K120" i="3"/>
  <c r="AK120" i="3"/>
  <c r="AQ120" i="3"/>
  <c r="AL120" i="3"/>
  <c r="AM120" i="3" s="1"/>
  <c r="AN120" i="3" s="1"/>
  <c r="AS120" i="3"/>
  <c r="S120" i="3"/>
  <c r="AQ152" i="3"/>
  <c r="S152" i="3"/>
  <c r="AR152" i="3"/>
  <c r="K152" i="3"/>
  <c r="AS152" i="3"/>
  <c r="AK152" i="3"/>
  <c r="AP152" i="3" s="1"/>
  <c r="AL152" i="3"/>
  <c r="AM152" i="3" s="1"/>
  <c r="AN152" i="3" s="1"/>
  <c r="AS170" i="3"/>
  <c r="AK170" i="3"/>
  <c r="AP170" i="3" s="1"/>
  <c r="AR170" i="3"/>
  <c r="S170" i="3"/>
  <c r="AQ170" i="3"/>
  <c r="AL170" i="3"/>
  <c r="AM170" i="3" s="1"/>
  <c r="AN170" i="3" s="1"/>
  <c r="K170" i="3"/>
  <c r="AL198" i="3"/>
  <c r="AM198" i="3" s="1"/>
  <c r="AN198" i="3" s="1"/>
  <c r="AS198" i="3"/>
  <c r="AK198" i="3"/>
  <c r="AR198" i="3"/>
  <c r="K198" i="3"/>
  <c r="S198" i="3"/>
  <c r="AQ198" i="3"/>
  <c r="AR197" i="3"/>
  <c r="K197" i="3"/>
  <c r="AQ197" i="3"/>
  <c r="S197" i="3"/>
  <c r="AL197" i="3"/>
  <c r="AM197" i="3" s="1"/>
  <c r="AN197" i="3" s="1"/>
  <c r="AS197" i="3"/>
  <c r="AK197" i="3"/>
  <c r="AP197" i="3" s="1"/>
  <c r="AL226" i="3"/>
  <c r="AM226" i="3" s="1"/>
  <c r="AN226" i="3" s="1"/>
  <c r="AS226" i="3"/>
  <c r="AR226" i="3"/>
  <c r="S226" i="3"/>
  <c r="K226" i="3"/>
  <c r="AK226" i="3"/>
  <c r="AQ226" i="3"/>
  <c r="AS247" i="3"/>
  <c r="AK247" i="3"/>
  <c r="AR247" i="3"/>
  <c r="S247" i="3"/>
  <c r="AQ247" i="3"/>
  <c r="AL247" i="3"/>
  <c r="AM247" i="3" s="1"/>
  <c r="AN247" i="3" s="1"/>
  <c r="K247" i="3"/>
  <c r="AL257" i="3"/>
  <c r="AM257" i="3" s="1"/>
  <c r="AN257" i="3" s="1"/>
  <c r="AS257" i="3"/>
  <c r="AK257" i="3"/>
  <c r="AP257" i="3" s="1"/>
  <c r="AQ257" i="3"/>
  <c r="S257" i="3"/>
  <c r="AR257" i="3"/>
  <c r="AT257" i="3" s="1"/>
  <c r="K257" i="3"/>
  <c r="AL78" i="3"/>
  <c r="AM78" i="3" s="1"/>
  <c r="AN78" i="3" s="1"/>
  <c r="AS78" i="3"/>
  <c r="AK78" i="3"/>
  <c r="AR78" i="3"/>
  <c r="AQ78" i="3"/>
  <c r="S78" i="3"/>
  <c r="K78" i="3"/>
  <c r="E69" i="3"/>
  <c r="D99" i="3"/>
  <c r="D107" i="3"/>
  <c r="D110" i="3"/>
  <c r="E156" i="3"/>
  <c r="E144" i="3"/>
  <c r="E152" i="3"/>
  <c r="E214" i="3"/>
  <c r="AJ77" i="3"/>
  <c r="AJ127" i="3"/>
  <c r="AJ111" i="3"/>
  <c r="AJ204" i="3"/>
  <c r="L152" i="3"/>
  <c r="L77" i="3"/>
  <c r="AS103" i="3"/>
  <c r="AK103" i="3"/>
  <c r="AP103" i="3" s="1"/>
  <c r="AQ103" i="3"/>
  <c r="AL103" i="3"/>
  <c r="AM103" i="3" s="1"/>
  <c r="AN103" i="3" s="1"/>
  <c r="K103" i="3"/>
  <c r="AR103" i="3"/>
  <c r="S103" i="3"/>
  <c r="AR73" i="3"/>
  <c r="K73" i="3"/>
  <c r="AK73" i="3"/>
  <c r="AS73" i="3"/>
  <c r="S73" i="3"/>
  <c r="AQ73" i="3"/>
  <c r="AL73" i="3"/>
  <c r="AM73" i="3" s="1"/>
  <c r="AN73" i="3" s="1"/>
  <c r="L73" i="3"/>
  <c r="AQ90" i="3"/>
  <c r="S90" i="3"/>
  <c r="AR90" i="3"/>
  <c r="AL90" i="3"/>
  <c r="AM90" i="3" s="1"/>
  <c r="AN90" i="3" s="1"/>
  <c r="AK90" i="3"/>
  <c r="AP90" i="3" s="1"/>
  <c r="K90" i="3"/>
  <c r="AS90" i="3"/>
  <c r="AQ106" i="3"/>
  <c r="S106" i="3"/>
  <c r="AR106" i="3"/>
  <c r="AL106" i="3"/>
  <c r="AM106" i="3" s="1"/>
  <c r="AN106" i="3" s="1"/>
  <c r="AK106" i="3"/>
  <c r="K106" i="3"/>
  <c r="AS106" i="3"/>
  <c r="AR114" i="3"/>
  <c r="AK114" i="3"/>
  <c r="AQ114" i="3"/>
  <c r="AL114" i="3"/>
  <c r="AM114" i="3" s="1"/>
  <c r="AN114" i="3" s="1"/>
  <c r="S114" i="3"/>
  <c r="K114" i="3"/>
  <c r="AS114" i="3"/>
  <c r="AS147" i="3"/>
  <c r="AK147" i="3"/>
  <c r="AL147" i="3"/>
  <c r="AM147" i="3" s="1"/>
  <c r="AN147" i="3" s="1"/>
  <c r="S147" i="3"/>
  <c r="K147" i="3"/>
  <c r="AQ147" i="3"/>
  <c r="AR147" i="3"/>
  <c r="AR155" i="3"/>
  <c r="AQ155" i="3"/>
  <c r="AL155" i="3"/>
  <c r="AM155" i="3" s="1"/>
  <c r="AN155" i="3" s="1"/>
  <c r="AS155" i="3"/>
  <c r="S155" i="3"/>
  <c r="AK155" i="3"/>
  <c r="AP155" i="3" s="1"/>
  <c r="K155" i="3"/>
  <c r="AL115" i="3"/>
  <c r="AM115" i="3" s="1"/>
  <c r="AN115" i="3" s="1"/>
  <c r="AR115" i="3"/>
  <c r="S115" i="3"/>
  <c r="AS115" i="3"/>
  <c r="AK115" i="3"/>
  <c r="AP115" i="3" s="1"/>
  <c r="K115" i="3"/>
  <c r="AQ115" i="3"/>
  <c r="AL123" i="3"/>
  <c r="AM123" i="3" s="1"/>
  <c r="AN123" i="3" s="1"/>
  <c r="AR123" i="3"/>
  <c r="S123" i="3"/>
  <c r="AQ123" i="3"/>
  <c r="AK123" i="3"/>
  <c r="AP123" i="3" s="1"/>
  <c r="AS123" i="3"/>
  <c r="K123" i="3"/>
  <c r="AL131" i="3"/>
  <c r="AM131" i="3" s="1"/>
  <c r="AN131" i="3" s="1"/>
  <c r="AR131" i="3"/>
  <c r="S131" i="3"/>
  <c r="AQ131" i="3"/>
  <c r="AK131" i="3"/>
  <c r="AS131" i="3"/>
  <c r="K131" i="3"/>
  <c r="AL160" i="3"/>
  <c r="AM160" i="3" s="1"/>
  <c r="AN160" i="3" s="1"/>
  <c r="AS160" i="3"/>
  <c r="K160" i="3"/>
  <c r="AK160" i="3"/>
  <c r="AP160" i="3" s="1"/>
  <c r="AR160" i="3"/>
  <c r="S160" i="3"/>
  <c r="AQ160" i="3"/>
  <c r="AR116" i="3"/>
  <c r="K116" i="3"/>
  <c r="AK116" i="3"/>
  <c r="AP116" i="3" s="1"/>
  <c r="AQ116" i="3"/>
  <c r="AL116" i="3"/>
  <c r="AM116" i="3" s="1"/>
  <c r="AN116" i="3" s="1"/>
  <c r="AS116" i="3"/>
  <c r="S116" i="3"/>
  <c r="AR124" i="3"/>
  <c r="K124" i="3"/>
  <c r="AK124" i="3"/>
  <c r="AP124" i="3" s="1"/>
  <c r="AQ124" i="3"/>
  <c r="AL124" i="3"/>
  <c r="AM124" i="3" s="1"/>
  <c r="AN124" i="3" s="1"/>
  <c r="AS124" i="3"/>
  <c r="S124" i="3"/>
  <c r="AR132" i="3"/>
  <c r="K132" i="3"/>
  <c r="AK132" i="3"/>
  <c r="AP132" i="3" s="1"/>
  <c r="AQ132" i="3"/>
  <c r="AL132" i="3"/>
  <c r="AM132" i="3" s="1"/>
  <c r="AN132" i="3" s="1"/>
  <c r="AS132" i="3"/>
  <c r="S132" i="3"/>
  <c r="AQ140" i="3"/>
  <c r="S140" i="3"/>
  <c r="AR140" i="3"/>
  <c r="K140" i="3"/>
  <c r="AS140" i="3"/>
  <c r="AK140" i="3"/>
  <c r="AP140" i="3" s="1"/>
  <c r="AL140" i="3"/>
  <c r="AM140" i="3" s="1"/>
  <c r="AN140" i="3" s="1"/>
  <c r="AQ148" i="3"/>
  <c r="S148" i="3"/>
  <c r="AR148" i="3"/>
  <c r="K148" i="3"/>
  <c r="AS148" i="3"/>
  <c r="AK148" i="3"/>
  <c r="AP148" i="3" s="1"/>
  <c r="AL148" i="3"/>
  <c r="AM148" i="3" s="1"/>
  <c r="AN148" i="3" s="1"/>
  <c r="AL164" i="3"/>
  <c r="AM164" i="3" s="1"/>
  <c r="AN164" i="3" s="1"/>
  <c r="AS164" i="3"/>
  <c r="AK164" i="3"/>
  <c r="AR164" i="3"/>
  <c r="S164" i="3"/>
  <c r="K164" i="3"/>
  <c r="AQ164" i="3"/>
  <c r="AQ181" i="3"/>
  <c r="S181" i="3"/>
  <c r="AK181" i="3"/>
  <c r="K181" i="3"/>
  <c r="AR181" i="3"/>
  <c r="AS181" i="3"/>
  <c r="AL181" i="3"/>
  <c r="AM181" i="3" s="1"/>
  <c r="AN181" i="3" s="1"/>
  <c r="AL188" i="3"/>
  <c r="AM188" i="3" s="1"/>
  <c r="AN188" i="3" s="1"/>
  <c r="K188" i="3"/>
  <c r="AS188" i="3"/>
  <c r="AQ188" i="3"/>
  <c r="AK188" i="3"/>
  <c r="AR188" i="3"/>
  <c r="S188" i="3"/>
  <c r="AR159" i="3"/>
  <c r="K159" i="3"/>
  <c r="AQ159" i="3"/>
  <c r="AL159" i="3"/>
  <c r="AM159" i="3" s="1"/>
  <c r="AN159" i="3" s="1"/>
  <c r="AS159" i="3"/>
  <c r="S159" i="3"/>
  <c r="AK159" i="3"/>
  <c r="AP159" i="3" s="1"/>
  <c r="AR167" i="3"/>
  <c r="K167" i="3"/>
  <c r="AQ167" i="3"/>
  <c r="S167" i="3"/>
  <c r="AS167" i="3"/>
  <c r="AK167" i="3"/>
  <c r="AL167" i="3"/>
  <c r="AM167" i="3" s="1"/>
  <c r="AN167" i="3" s="1"/>
  <c r="AS174" i="3"/>
  <c r="AK174" i="3"/>
  <c r="AR174" i="3"/>
  <c r="S174" i="3"/>
  <c r="AL174" i="3"/>
  <c r="AM174" i="3" s="1"/>
  <c r="AN174" i="3" s="1"/>
  <c r="K174" i="3"/>
  <c r="AQ174" i="3"/>
  <c r="AS182" i="3"/>
  <c r="AK182" i="3"/>
  <c r="AR182" i="3"/>
  <c r="S182" i="3"/>
  <c r="AQ182" i="3"/>
  <c r="AL182" i="3"/>
  <c r="AM182" i="3" s="1"/>
  <c r="AN182" i="3" s="1"/>
  <c r="K182" i="3"/>
  <c r="AR186" i="3"/>
  <c r="K186" i="3"/>
  <c r="AQ186" i="3"/>
  <c r="S186" i="3"/>
  <c r="AS186" i="3"/>
  <c r="AK186" i="3"/>
  <c r="AP186" i="3" s="1"/>
  <c r="AL186" i="3"/>
  <c r="AM186" i="3" s="1"/>
  <c r="AN186" i="3" s="1"/>
  <c r="AQ207" i="3"/>
  <c r="S207" i="3"/>
  <c r="AK207" i="3"/>
  <c r="AP207" i="3" s="1"/>
  <c r="K207" i="3"/>
  <c r="AS207" i="3"/>
  <c r="AL207" i="3"/>
  <c r="AM207" i="3" s="1"/>
  <c r="AN207" i="3" s="1"/>
  <c r="AR207" i="3"/>
  <c r="AQ213" i="3"/>
  <c r="S213" i="3"/>
  <c r="AK213" i="3"/>
  <c r="AP213" i="3" s="1"/>
  <c r="K213" i="3"/>
  <c r="AS213" i="3"/>
  <c r="AR213" i="3"/>
  <c r="AL213" i="3"/>
  <c r="AM213" i="3" s="1"/>
  <c r="AN213" i="3" s="1"/>
  <c r="AR193" i="3"/>
  <c r="K193" i="3"/>
  <c r="AS193" i="3"/>
  <c r="S193" i="3"/>
  <c r="AQ193" i="3"/>
  <c r="AL193" i="3"/>
  <c r="AM193" i="3" s="1"/>
  <c r="AN193" i="3" s="1"/>
  <c r="AK193" i="3"/>
  <c r="AP193" i="3" s="1"/>
  <c r="AQ201" i="3"/>
  <c r="AR201" i="3"/>
  <c r="AL201" i="3"/>
  <c r="AM201" i="3" s="1"/>
  <c r="AN201" i="3" s="1"/>
  <c r="K201" i="3"/>
  <c r="AK201" i="3"/>
  <c r="AP201" i="3" s="1"/>
  <c r="S201" i="3"/>
  <c r="AS201" i="3"/>
  <c r="AL217" i="3"/>
  <c r="AM217" i="3" s="1"/>
  <c r="AN217" i="3" s="1"/>
  <c r="AS217" i="3"/>
  <c r="AK217" i="3"/>
  <c r="AP217" i="3" s="1"/>
  <c r="AQ217" i="3"/>
  <c r="S217" i="3"/>
  <c r="AR217" i="3"/>
  <c r="K217" i="3"/>
  <c r="AS210" i="3"/>
  <c r="AK210" i="3"/>
  <c r="AR210" i="3"/>
  <c r="S210" i="3"/>
  <c r="AQ210" i="3"/>
  <c r="AL210" i="3"/>
  <c r="AM210" i="3" s="1"/>
  <c r="AN210" i="3" s="1"/>
  <c r="K210" i="3"/>
  <c r="AL222" i="3"/>
  <c r="AM222" i="3" s="1"/>
  <c r="AN222" i="3" s="1"/>
  <c r="AS222" i="3"/>
  <c r="AR222" i="3"/>
  <c r="S222" i="3"/>
  <c r="K222" i="3"/>
  <c r="AK222" i="3"/>
  <c r="AP222" i="3" s="1"/>
  <c r="AQ222" i="3"/>
  <c r="AS218" i="3"/>
  <c r="K218" i="3"/>
  <c r="AR218" i="3"/>
  <c r="S218" i="3"/>
  <c r="AK218" i="3"/>
  <c r="AL218" i="3"/>
  <c r="AM218" i="3" s="1"/>
  <c r="AN218" i="3" s="1"/>
  <c r="AQ218" i="3"/>
  <c r="AL234" i="3"/>
  <c r="AM234" i="3" s="1"/>
  <c r="AN234" i="3" s="1"/>
  <c r="AS234" i="3"/>
  <c r="AK234" i="3"/>
  <c r="AQ234" i="3"/>
  <c r="S234" i="3"/>
  <c r="AR234" i="3"/>
  <c r="K234" i="3"/>
  <c r="AL243" i="3"/>
  <c r="AM243" i="3" s="1"/>
  <c r="AN243" i="3" s="1"/>
  <c r="AS243" i="3"/>
  <c r="AK243" i="3"/>
  <c r="AQ243" i="3"/>
  <c r="S243" i="3"/>
  <c r="AR243" i="3"/>
  <c r="K243" i="3"/>
  <c r="AR221" i="3"/>
  <c r="K221" i="3"/>
  <c r="AQ221" i="3"/>
  <c r="AL221" i="3"/>
  <c r="AM221" i="3" s="1"/>
  <c r="AN221" i="3" s="1"/>
  <c r="AK221" i="3"/>
  <c r="AS221" i="3"/>
  <c r="S221" i="3"/>
  <c r="AR229" i="3"/>
  <c r="K229" i="3"/>
  <c r="AQ229" i="3"/>
  <c r="S229" i="3"/>
  <c r="AS229" i="3"/>
  <c r="AK229" i="3"/>
  <c r="AL229" i="3"/>
  <c r="AM229" i="3" s="1"/>
  <c r="AN229" i="3" s="1"/>
  <c r="AS248" i="3"/>
  <c r="AK248" i="3"/>
  <c r="AQ248" i="3"/>
  <c r="AL248" i="3"/>
  <c r="AM248" i="3" s="1"/>
  <c r="AN248" i="3" s="1"/>
  <c r="K248" i="3"/>
  <c r="AR248" i="3"/>
  <c r="S248" i="3"/>
  <c r="AR240" i="3"/>
  <c r="K240" i="3"/>
  <c r="AS240" i="3"/>
  <c r="S240" i="3"/>
  <c r="AK240" i="3"/>
  <c r="AP240" i="3" s="1"/>
  <c r="AQ240" i="3"/>
  <c r="AL240" i="3"/>
  <c r="AM240" i="3" s="1"/>
  <c r="AN240" i="3" s="1"/>
  <c r="AR254" i="3"/>
  <c r="K254" i="3"/>
  <c r="AQ254" i="3"/>
  <c r="S254" i="3"/>
  <c r="AS254" i="3"/>
  <c r="AK254" i="3"/>
  <c r="AL254" i="3"/>
  <c r="AM254" i="3" s="1"/>
  <c r="AN254" i="3" s="1"/>
  <c r="AQ249" i="3"/>
  <c r="S249" i="3"/>
  <c r="AS249" i="3"/>
  <c r="AR249" i="3"/>
  <c r="AL249" i="3"/>
  <c r="AM249" i="3" s="1"/>
  <c r="AN249" i="3" s="1"/>
  <c r="AK249" i="3"/>
  <c r="AP249" i="3" s="1"/>
  <c r="K249" i="3"/>
  <c r="AR256" i="3"/>
  <c r="K256" i="3"/>
  <c r="AQ256" i="3"/>
  <c r="S256" i="3"/>
  <c r="AS256" i="3"/>
  <c r="AK256" i="3"/>
  <c r="AL256" i="3"/>
  <c r="AM256" i="3" s="1"/>
  <c r="AN256" i="3" s="1"/>
  <c r="AS262" i="3"/>
  <c r="AK262" i="3"/>
  <c r="AR262" i="3"/>
  <c r="K262" i="3"/>
  <c r="AL262" i="3"/>
  <c r="AM262" i="3" s="1"/>
  <c r="AN262" i="3" s="1"/>
  <c r="S262" i="3"/>
  <c r="AQ262" i="3"/>
  <c r="AJ98" i="3"/>
  <c r="AJ86" i="3"/>
  <c r="AJ72" i="3"/>
  <c r="AJ151" i="3"/>
  <c r="AJ94" i="3"/>
  <c r="E76" i="3"/>
  <c r="E68" i="3"/>
  <c r="AJ135" i="3"/>
  <c r="D82" i="3"/>
  <c r="E73" i="3"/>
  <c r="E65" i="3"/>
  <c r="E91" i="3"/>
  <c r="E99" i="3"/>
  <c r="E107" i="3"/>
  <c r="E117" i="3"/>
  <c r="D152" i="3"/>
  <c r="D140" i="3"/>
  <c r="D64" i="3"/>
  <c r="D72" i="3"/>
  <c r="D87" i="3"/>
  <c r="D95" i="3"/>
  <c r="D103" i="3"/>
  <c r="D111" i="3"/>
  <c r="D138" i="3"/>
  <c r="E174" i="3"/>
  <c r="E88" i="3"/>
  <c r="E96" i="3"/>
  <c r="E104" i="3"/>
  <c r="E112" i="3"/>
  <c r="E120" i="3"/>
  <c r="F120" i="3" s="1"/>
  <c r="E128" i="3"/>
  <c r="D157" i="3"/>
  <c r="D174" i="3"/>
  <c r="F174" i="3" s="1"/>
  <c r="E176" i="3"/>
  <c r="D114" i="3"/>
  <c r="D122" i="3"/>
  <c r="D130" i="3"/>
  <c r="E137" i="3"/>
  <c r="E145" i="3"/>
  <c r="E153" i="3"/>
  <c r="D184" i="3"/>
  <c r="D121" i="3"/>
  <c r="D129" i="3"/>
  <c r="D137" i="3"/>
  <c r="D145" i="3"/>
  <c r="D153" i="3"/>
  <c r="E160" i="3"/>
  <c r="E178" i="3"/>
  <c r="E140" i="3"/>
  <c r="E148" i="3"/>
  <c r="E157" i="3"/>
  <c r="D165" i="3"/>
  <c r="E172" i="3"/>
  <c r="D193" i="3"/>
  <c r="E169" i="3"/>
  <c r="D177" i="3"/>
  <c r="D158" i="3"/>
  <c r="D166" i="3"/>
  <c r="E195" i="3"/>
  <c r="E177" i="3"/>
  <c r="E185" i="3"/>
  <c r="E189" i="3"/>
  <c r="D185" i="3"/>
  <c r="E192" i="3"/>
  <c r="E200" i="3"/>
  <c r="D195" i="3"/>
  <c r="D203" i="3"/>
  <c r="E197" i="3"/>
  <c r="E210" i="3"/>
  <c r="D194" i="3"/>
  <c r="D202" i="3"/>
  <c r="D208" i="3"/>
  <c r="D211" i="3"/>
  <c r="E203" i="3"/>
  <c r="E211" i="3"/>
  <c r="E220" i="3"/>
  <c r="E240" i="3"/>
  <c r="D221" i="3"/>
  <c r="D229" i="3"/>
  <c r="E236" i="3"/>
  <c r="E221" i="3"/>
  <c r="E238" i="3"/>
  <c r="E230" i="3"/>
  <c r="D238" i="3"/>
  <c r="E233" i="3"/>
  <c r="E241" i="3"/>
  <c r="D226" i="3"/>
  <c r="D234" i="3"/>
  <c r="E242" i="3"/>
  <c r="D237" i="3"/>
  <c r="D245" i="3"/>
  <c r="D253" i="3"/>
  <c r="D259" i="3"/>
  <c r="D256" i="3"/>
  <c r="E255" i="3"/>
  <c r="E259" i="3"/>
  <c r="E260" i="3"/>
  <c r="D260" i="3"/>
  <c r="D263" i="3"/>
  <c r="E64" i="3"/>
  <c r="AJ137" i="3"/>
  <c r="AJ129" i="3"/>
  <c r="AJ65" i="3"/>
  <c r="AJ73" i="3"/>
  <c r="AJ81" i="3"/>
  <c r="AJ89" i="3"/>
  <c r="AJ97" i="3"/>
  <c r="AJ105" i="3"/>
  <c r="AJ112" i="3"/>
  <c r="AJ147" i="3"/>
  <c r="AJ176" i="3"/>
  <c r="AJ118" i="3"/>
  <c r="AJ126" i="3"/>
  <c r="AJ134" i="3"/>
  <c r="AJ142" i="3"/>
  <c r="AJ150" i="3"/>
  <c r="AJ158" i="3"/>
  <c r="AJ180" i="3"/>
  <c r="AJ174" i="3"/>
  <c r="AJ173" i="3"/>
  <c r="AJ181" i="3"/>
  <c r="AJ157" i="3"/>
  <c r="AJ165" i="3"/>
  <c r="AJ188" i="3"/>
  <c r="AJ196" i="3"/>
  <c r="AJ203" i="3"/>
  <c r="AJ208" i="3"/>
  <c r="AJ191" i="3"/>
  <c r="AJ199" i="3"/>
  <c r="AJ210" i="3"/>
  <c r="AJ211" i="3"/>
  <c r="AJ224" i="3"/>
  <c r="AJ234" i="3"/>
  <c r="AJ235" i="3"/>
  <c r="AJ221" i="3"/>
  <c r="AJ229" i="3"/>
  <c r="AJ243" i="3"/>
  <c r="AJ236" i="3"/>
  <c r="AJ244" i="3"/>
  <c r="AJ251" i="3"/>
  <c r="AJ252" i="3"/>
  <c r="AJ259" i="3"/>
  <c r="AJ262" i="3"/>
  <c r="L31" i="1"/>
  <c r="B90" i="1"/>
  <c r="M69" i="2" l="1"/>
  <c r="J69" i="2"/>
  <c r="K69" i="2"/>
  <c r="I69" i="2"/>
  <c r="N69" i="2"/>
  <c r="F92" i="3"/>
  <c r="F87" i="3"/>
  <c r="G87" i="3" s="1"/>
  <c r="F240" i="3"/>
  <c r="G240" i="3" s="1"/>
  <c r="F210" i="3"/>
  <c r="G210" i="3" s="1"/>
  <c r="F184" i="3"/>
  <c r="F130" i="3"/>
  <c r="H130" i="3" s="1"/>
  <c r="F95" i="3"/>
  <c r="G95" i="3" s="1"/>
  <c r="F70" i="3"/>
  <c r="H70" i="3" s="1"/>
  <c r="AO171" i="3"/>
  <c r="AP133" i="3"/>
  <c r="AP190" i="3"/>
  <c r="AO213" i="3"/>
  <c r="AP250" i="3"/>
  <c r="F169" i="3"/>
  <c r="G169" i="3" s="1"/>
  <c r="F250" i="3"/>
  <c r="H250" i="3" s="1"/>
  <c r="F77" i="3"/>
  <c r="G77" i="3" s="1"/>
  <c r="F181" i="3"/>
  <c r="G181" i="3" s="1"/>
  <c r="F218" i="3"/>
  <c r="G218" i="3" s="1"/>
  <c r="F80" i="3"/>
  <c r="G80" i="3" s="1"/>
  <c r="AP135" i="3"/>
  <c r="F150" i="3"/>
  <c r="H150" i="3" s="1"/>
  <c r="F264" i="3"/>
  <c r="H264" i="3" s="1"/>
  <c r="F226" i="3"/>
  <c r="H226" i="3" s="1"/>
  <c r="F114" i="3"/>
  <c r="H114" i="3" s="1"/>
  <c r="AP245" i="3"/>
  <c r="F142" i="3"/>
  <c r="H142" i="3" s="1"/>
  <c r="AP65" i="3"/>
  <c r="F67" i="3"/>
  <c r="H67" i="3" s="1"/>
  <c r="AP232" i="3"/>
  <c r="F188" i="3"/>
  <c r="H188" i="3" s="1"/>
  <c r="F224" i="3"/>
  <c r="H224" i="3" s="1"/>
  <c r="F146" i="3"/>
  <c r="H146" i="3" s="1"/>
  <c r="F168" i="3"/>
  <c r="H168" i="3" s="1"/>
  <c r="F247" i="3"/>
  <c r="H247" i="3" s="1"/>
  <c r="F73" i="3"/>
  <c r="H73" i="3" s="1"/>
  <c r="AP71" i="3"/>
  <c r="AT194" i="3"/>
  <c r="AU194" i="3" s="1"/>
  <c r="AP242" i="3"/>
  <c r="AP228" i="3"/>
  <c r="F193" i="3"/>
  <c r="H193" i="3" s="1"/>
  <c r="F133" i="3"/>
  <c r="G133" i="3" s="1"/>
  <c r="G22" i="2"/>
  <c r="H22" i="2"/>
  <c r="F126" i="3"/>
  <c r="H126" i="3" s="1"/>
  <c r="F252" i="3"/>
  <c r="G252" i="3" s="1"/>
  <c r="F124" i="3"/>
  <c r="G124" i="3" s="1"/>
  <c r="F245" i="3"/>
  <c r="H245" i="3" s="1"/>
  <c r="F235" i="3"/>
  <c r="H235" i="3" s="1"/>
  <c r="F209" i="3"/>
  <c r="H209" i="3" s="1"/>
  <c r="F75" i="3"/>
  <c r="H75" i="3" s="1"/>
  <c r="F179" i="3"/>
  <c r="G179" i="3" s="1"/>
  <c r="F167" i="3"/>
  <c r="H167" i="3" s="1"/>
  <c r="F131" i="3"/>
  <c r="H131" i="3" s="1"/>
  <c r="F262" i="3"/>
  <c r="H262" i="3" s="1"/>
  <c r="F248" i="3"/>
  <c r="H248" i="3" s="1"/>
  <c r="F106" i="3"/>
  <c r="H106" i="3" s="1"/>
  <c r="F256" i="3"/>
  <c r="H256" i="3" s="1"/>
  <c r="F194" i="3"/>
  <c r="H194" i="3" s="1"/>
  <c r="F244" i="3"/>
  <c r="H244" i="3" s="1"/>
  <c r="F190" i="3"/>
  <c r="G190" i="3" s="1"/>
  <c r="F143" i="3"/>
  <c r="G143" i="3" s="1"/>
  <c r="F162" i="3"/>
  <c r="H162" i="3" s="1"/>
  <c r="F182" i="3"/>
  <c r="H182" i="3" s="1"/>
  <c r="F127" i="3"/>
  <c r="G127" i="3" s="1"/>
  <c r="AO170" i="3"/>
  <c r="AP199" i="3"/>
  <c r="AP81" i="3"/>
  <c r="AP137" i="3"/>
  <c r="AO247" i="3"/>
  <c r="AO235" i="3"/>
  <c r="F229" i="3"/>
  <c r="G229" i="3" s="1"/>
  <c r="F69" i="3"/>
  <c r="H69" i="3" s="1"/>
  <c r="F94" i="3"/>
  <c r="G94" i="3" s="1"/>
  <c r="F147" i="3"/>
  <c r="G147" i="3" s="1"/>
  <c r="F198" i="3"/>
  <c r="G198" i="3" s="1"/>
  <c r="F115" i="3"/>
  <c r="G115" i="3" s="1"/>
  <c r="F132" i="3"/>
  <c r="H132" i="3" s="1"/>
  <c r="F164" i="3"/>
  <c r="H164" i="3" s="1"/>
  <c r="F191" i="3"/>
  <c r="G191" i="3" s="1"/>
  <c r="F149" i="3"/>
  <c r="H149" i="3" s="1"/>
  <c r="F251" i="3"/>
  <c r="H251" i="3" s="1"/>
  <c r="F85" i="3"/>
  <c r="G85" i="3" s="1"/>
  <c r="F118" i="3"/>
  <c r="H118" i="3" s="1"/>
  <c r="F79" i="3"/>
  <c r="H79" i="3" s="1"/>
  <c r="F83" i="3"/>
  <c r="H83" i="3" s="1"/>
  <c r="F196" i="3"/>
  <c r="H196" i="3" s="1"/>
  <c r="AW80" i="3"/>
  <c r="AY80" i="3" s="1"/>
  <c r="AP119" i="3"/>
  <c r="AO262" i="3"/>
  <c r="AP188" i="3"/>
  <c r="F125" i="3"/>
  <c r="G125" i="3" s="1"/>
  <c r="F101" i="3"/>
  <c r="G101" i="3" s="1"/>
  <c r="AT73" i="3"/>
  <c r="AU73" i="3" s="1"/>
  <c r="AT220" i="3"/>
  <c r="AU220" i="3" s="1"/>
  <c r="AT211" i="3"/>
  <c r="AU211" i="3" s="1"/>
  <c r="AT205" i="3"/>
  <c r="AU205" i="3" s="1"/>
  <c r="AW205" i="3" s="1"/>
  <c r="AP176" i="3"/>
  <c r="AP136" i="3"/>
  <c r="AO67" i="3"/>
  <c r="AP214" i="3"/>
  <c r="AO181" i="3"/>
  <c r="AP97" i="3"/>
  <c r="AO75" i="3"/>
  <c r="AP86" i="3"/>
  <c r="F134" i="3"/>
  <c r="H134" i="3" s="1"/>
  <c r="F113" i="3"/>
  <c r="G113" i="3" s="1"/>
  <c r="F215" i="3"/>
  <c r="G215" i="3" s="1"/>
  <c r="F66" i="3"/>
  <c r="H66" i="3" s="1"/>
  <c r="F141" i="3"/>
  <c r="H141" i="3" s="1"/>
  <c r="F103" i="3"/>
  <c r="G103" i="3" s="1"/>
  <c r="F98" i="3"/>
  <c r="G98" i="3" s="1"/>
  <c r="F263" i="3"/>
  <c r="G263" i="3" s="1"/>
  <c r="F78" i="3"/>
  <c r="G78" i="3" s="1"/>
  <c r="F220" i="3"/>
  <c r="G220" i="3" s="1"/>
  <c r="F165" i="3"/>
  <c r="H165" i="3" s="1"/>
  <c r="F187" i="3"/>
  <c r="G187" i="3" s="1"/>
  <c r="F84" i="3"/>
  <c r="G84" i="3" s="1"/>
  <c r="F237" i="3"/>
  <c r="G237" i="3" s="1"/>
  <c r="F241" i="3"/>
  <c r="H241" i="3" s="1"/>
  <c r="F166" i="3"/>
  <c r="H166" i="3" s="1"/>
  <c r="F121" i="3"/>
  <c r="G121" i="3" s="1"/>
  <c r="F117" i="3"/>
  <c r="H117" i="3" s="1"/>
  <c r="F93" i="3"/>
  <c r="H93" i="3" s="1"/>
  <c r="F71" i="3"/>
  <c r="H71" i="3" s="1"/>
  <c r="F199" i="3"/>
  <c r="H199" i="3" s="1"/>
  <c r="F180" i="3"/>
  <c r="G180" i="3" s="1"/>
  <c r="F234" i="3"/>
  <c r="G234" i="3" s="1"/>
  <c r="F122" i="3"/>
  <c r="H122" i="3" s="1"/>
  <c r="F104" i="3"/>
  <c r="G104" i="3" s="1"/>
  <c r="F232" i="3"/>
  <c r="G232" i="3" s="1"/>
  <c r="F37" i="2"/>
  <c r="K68" i="2"/>
  <c r="AT232" i="3"/>
  <c r="AU232" i="3" s="1"/>
  <c r="AW232" i="3" s="1"/>
  <c r="AT117" i="3"/>
  <c r="AU117" i="3" s="1"/>
  <c r="AT189" i="3"/>
  <c r="AU189" i="3" s="1"/>
  <c r="F48" i="2"/>
  <c r="D17" i="2" s="1"/>
  <c r="G17" i="2"/>
  <c r="G25" i="2"/>
  <c r="G21" i="2"/>
  <c r="G50" i="2"/>
  <c r="E19" i="2" s="1"/>
  <c r="G57" i="2"/>
  <c r="E26" i="2" s="1"/>
  <c r="G36" i="2"/>
  <c r="G19" i="2"/>
  <c r="G52" i="2"/>
  <c r="E21" i="2" s="1"/>
  <c r="G53" i="2"/>
  <c r="E22" i="2" s="1"/>
  <c r="G59" i="2"/>
  <c r="E28" i="2" s="1"/>
  <c r="F56" i="2"/>
  <c r="D25" i="2" s="1"/>
  <c r="F57" i="2"/>
  <c r="D26" i="2" s="1"/>
  <c r="G28" i="2"/>
  <c r="G29" i="2"/>
  <c r="G15" i="2"/>
  <c r="F60" i="2"/>
  <c r="D29" i="2" s="1"/>
  <c r="F59" i="2"/>
  <c r="D28" i="2" s="1"/>
  <c r="G51" i="2"/>
  <c r="G60" i="2"/>
  <c r="E29" i="2" s="1"/>
  <c r="G46" i="2"/>
  <c r="E15" i="2" s="1"/>
  <c r="F46" i="2"/>
  <c r="D15" i="2" s="1"/>
  <c r="F67" i="2"/>
  <c r="D36" i="2" s="1"/>
  <c r="B13" i="2"/>
  <c r="C13" i="2" s="1"/>
  <c r="G39" i="2"/>
  <c r="G20" i="2"/>
  <c r="P68" i="2"/>
  <c r="M68" i="2"/>
  <c r="F61" i="2"/>
  <c r="D30" i="2" s="1"/>
  <c r="F58" i="2"/>
  <c r="D27" i="2" s="1"/>
  <c r="M263" i="3"/>
  <c r="T263" i="3" s="1"/>
  <c r="U263" i="3" s="1"/>
  <c r="V263" i="3" s="1"/>
  <c r="AB263" i="3" s="1"/>
  <c r="AD263" i="3" s="1"/>
  <c r="K70" i="2"/>
  <c r="J68" i="2"/>
  <c r="G26" i="2"/>
  <c r="G30" i="2"/>
  <c r="G49" i="2"/>
  <c r="E18" i="2" s="1"/>
  <c r="F71" i="2"/>
  <c r="D40" i="2" s="1"/>
  <c r="F62" i="2"/>
  <c r="D31" i="2" s="1"/>
  <c r="E20" i="2"/>
  <c r="P70" i="2"/>
  <c r="O68" i="2"/>
  <c r="G31" i="2"/>
  <c r="G16" i="2"/>
  <c r="G24" i="2"/>
  <c r="G61" i="2"/>
  <c r="E30" i="2" s="1"/>
  <c r="G56" i="2"/>
  <c r="E25" i="2" s="1"/>
  <c r="G55" i="2"/>
  <c r="E24" i="2" s="1"/>
  <c r="F53" i="2"/>
  <c r="D22" i="2" s="1"/>
  <c r="G47" i="2"/>
  <c r="E16" i="2" s="1"/>
  <c r="F68" i="2"/>
  <c r="D37" i="2" s="1"/>
  <c r="F64" i="2"/>
  <c r="D33" i="2" s="1"/>
  <c r="I70" i="2"/>
  <c r="M70" i="2"/>
  <c r="F39" i="2"/>
  <c r="G33" i="2"/>
  <c r="G23" i="2"/>
  <c r="G68" i="2"/>
  <c r="E37" i="2" s="1"/>
  <c r="G58" i="2"/>
  <c r="E27" i="2" s="1"/>
  <c r="G63" i="2"/>
  <c r="E32" i="2" s="1"/>
  <c r="O70" i="2"/>
  <c r="G34" i="2"/>
  <c r="G18" i="2"/>
  <c r="I68" i="2"/>
  <c r="F21" i="2"/>
  <c r="G40" i="2"/>
  <c r="G27" i="2"/>
  <c r="F65" i="2"/>
  <c r="D34" i="2" s="1"/>
  <c r="F49" i="2"/>
  <c r="D18" i="2" s="1"/>
  <c r="G66" i="2"/>
  <c r="E35" i="2" s="1"/>
  <c r="F50" i="2"/>
  <c r="D19" i="2" s="1"/>
  <c r="F69" i="2"/>
  <c r="D38" i="2" s="1"/>
  <c r="F54" i="2"/>
  <c r="D23" i="2" s="1"/>
  <c r="G45" i="2"/>
  <c r="E14" i="2" s="1"/>
  <c r="F55" i="2"/>
  <c r="D24" i="2" s="1"/>
  <c r="G62" i="2"/>
  <c r="E31" i="2" s="1"/>
  <c r="G67" i="2"/>
  <c r="E36" i="2" s="1"/>
  <c r="F51" i="2"/>
  <c r="D20" i="2" s="1"/>
  <c r="F63" i="2"/>
  <c r="D32" i="2" s="1"/>
  <c r="G70" i="2"/>
  <c r="E39" i="2" s="1"/>
  <c r="G48" i="2"/>
  <c r="E17" i="2" s="1"/>
  <c r="N70" i="2"/>
  <c r="G54" i="2"/>
  <c r="E23" i="2" s="1"/>
  <c r="F47" i="2"/>
  <c r="D16" i="2" s="1"/>
  <c r="G37" i="2"/>
  <c r="G32" i="2"/>
  <c r="G38" i="2"/>
  <c r="G14" i="2"/>
  <c r="G35" i="2"/>
  <c r="G65" i="2"/>
  <c r="E34" i="2" s="1"/>
  <c r="F66" i="2"/>
  <c r="D35" i="2" s="1"/>
  <c r="G69" i="2"/>
  <c r="E38" i="2" s="1"/>
  <c r="F45" i="2"/>
  <c r="D14" i="2" s="1"/>
  <c r="G71" i="2"/>
  <c r="E40" i="2" s="1"/>
  <c r="F52" i="2"/>
  <c r="D21" i="2" s="1"/>
  <c r="G64" i="2"/>
  <c r="E33" i="2" s="1"/>
  <c r="F70" i="2"/>
  <c r="D39" i="2" s="1"/>
  <c r="B76" i="1"/>
  <c r="B60" i="1"/>
  <c r="B41" i="2"/>
  <c r="C41" i="2" s="1"/>
  <c r="F123" i="3"/>
  <c r="H123" i="3" s="1"/>
  <c r="M99" i="3"/>
  <c r="N99" i="3" s="1"/>
  <c r="O99" i="3" s="1"/>
  <c r="P99" i="3" s="1"/>
  <c r="M110" i="3"/>
  <c r="T110" i="3" s="1"/>
  <c r="U110" i="3" s="1"/>
  <c r="V110" i="3" s="1"/>
  <c r="AB110" i="3" s="1"/>
  <c r="M204" i="3"/>
  <c r="T204" i="3" s="1"/>
  <c r="U204" i="3" s="1"/>
  <c r="V204" i="3" s="1"/>
  <c r="AB204" i="3" s="1"/>
  <c r="M132" i="3"/>
  <c r="T132" i="3" s="1"/>
  <c r="U132" i="3" s="1"/>
  <c r="V132" i="3" s="1"/>
  <c r="AB132" i="3" s="1"/>
  <c r="M171" i="3"/>
  <c r="N171" i="3" s="1"/>
  <c r="O171" i="3" s="1"/>
  <c r="P171" i="3" s="1"/>
  <c r="M238" i="3"/>
  <c r="T238" i="3" s="1"/>
  <c r="U238" i="3" s="1"/>
  <c r="V238" i="3" s="1"/>
  <c r="AB238" i="3" s="1"/>
  <c r="M120" i="3"/>
  <c r="T120" i="3" s="1"/>
  <c r="U120" i="3" s="1"/>
  <c r="V120" i="3" s="1"/>
  <c r="AB120" i="3" s="1"/>
  <c r="M141" i="3"/>
  <c r="T141" i="3" s="1"/>
  <c r="U141" i="3" s="1"/>
  <c r="V141" i="3" s="1"/>
  <c r="AB141" i="3" s="1"/>
  <c r="M214" i="3"/>
  <c r="N214" i="3" s="1"/>
  <c r="O214" i="3" s="1"/>
  <c r="P214" i="3" s="1"/>
  <c r="M126" i="3"/>
  <c r="T126" i="3" s="1"/>
  <c r="U126" i="3" s="1"/>
  <c r="V126" i="3" s="1"/>
  <c r="AB126" i="3" s="1"/>
  <c r="M184" i="3"/>
  <c r="T184" i="3" s="1"/>
  <c r="U184" i="3" s="1"/>
  <c r="V184" i="3" s="1"/>
  <c r="AB184" i="3" s="1"/>
  <c r="AD184" i="3" s="1"/>
  <c r="M245" i="3"/>
  <c r="T245" i="3" s="1"/>
  <c r="U245" i="3" s="1"/>
  <c r="V245" i="3" s="1"/>
  <c r="AB245" i="3" s="1"/>
  <c r="AD245" i="3" s="1"/>
  <c r="M117" i="3"/>
  <c r="N117" i="3" s="1"/>
  <c r="O117" i="3" s="1"/>
  <c r="P117" i="3" s="1"/>
  <c r="M73" i="3"/>
  <c r="T73" i="3" s="1"/>
  <c r="U73" i="3" s="1"/>
  <c r="V73" i="3" s="1"/>
  <c r="AB73" i="3" s="1"/>
  <c r="M89" i="3"/>
  <c r="N89" i="3" s="1"/>
  <c r="O89" i="3" s="1"/>
  <c r="P89" i="3" s="1"/>
  <c r="M98" i="3"/>
  <c r="T98" i="3" s="1"/>
  <c r="U98" i="3" s="1"/>
  <c r="V98" i="3" s="1"/>
  <c r="AB98" i="3" s="1"/>
  <c r="AC98" i="3" s="1"/>
  <c r="M74" i="3"/>
  <c r="N74" i="3" s="1"/>
  <c r="O74" i="3" s="1"/>
  <c r="P74" i="3" s="1"/>
  <c r="M144" i="3"/>
  <c r="N144" i="3" s="1"/>
  <c r="O144" i="3" s="1"/>
  <c r="P144" i="3" s="1"/>
  <c r="M125" i="3"/>
  <c r="N125" i="3" s="1"/>
  <c r="O125" i="3" s="1"/>
  <c r="P125" i="3" s="1"/>
  <c r="M157" i="3"/>
  <c r="N157" i="3" s="1"/>
  <c r="O157" i="3" s="1"/>
  <c r="P157" i="3" s="1"/>
  <c r="M182" i="3"/>
  <c r="N182" i="3" s="1"/>
  <c r="O182" i="3" s="1"/>
  <c r="P182" i="3" s="1"/>
  <c r="M191" i="3"/>
  <c r="N191" i="3" s="1"/>
  <c r="O191" i="3" s="1"/>
  <c r="P191" i="3" s="1"/>
  <c r="M200" i="3"/>
  <c r="N200" i="3" s="1"/>
  <c r="O200" i="3" s="1"/>
  <c r="P200" i="3" s="1"/>
  <c r="M225" i="3"/>
  <c r="T225" i="3" s="1"/>
  <c r="U225" i="3" s="1"/>
  <c r="V225" i="3" s="1"/>
  <c r="AB225" i="3" s="1"/>
  <c r="AC225" i="3" s="1"/>
  <c r="M232" i="3"/>
  <c r="N232" i="3" s="1"/>
  <c r="O232" i="3" s="1"/>
  <c r="P232" i="3" s="1"/>
  <c r="M255" i="3"/>
  <c r="N255" i="3" s="1"/>
  <c r="O255" i="3" s="1"/>
  <c r="P255" i="3" s="1"/>
  <c r="M69" i="3"/>
  <c r="N69" i="3" s="1"/>
  <c r="O69" i="3" s="1"/>
  <c r="P69" i="3" s="1"/>
  <c r="M90" i="3"/>
  <c r="T90" i="3" s="1"/>
  <c r="U90" i="3" s="1"/>
  <c r="V90" i="3" s="1"/>
  <c r="AB90" i="3" s="1"/>
  <c r="AC90" i="3" s="1"/>
  <c r="M66" i="3"/>
  <c r="T66" i="3" s="1"/>
  <c r="M136" i="3"/>
  <c r="N136" i="3" s="1"/>
  <c r="O136" i="3" s="1"/>
  <c r="P136" i="3" s="1"/>
  <c r="M149" i="3"/>
  <c r="T149" i="3" s="1"/>
  <c r="U149" i="3" s="1"/>
  <c r="V149" i="3" s="1"/>
  <c r="AB149" i="3" s="1"/>
  <c r="AD149" i="3" s="1"/>
  <c r="M174" i="3"/>
  <c r="T174" i="3" s="1"/>
  <c r="U174" i="3" s="1"/>
  <c r="V174" i="3" s="1"/>
  <c r="AB174" i="3" s="1"/>
  <c r="M203" i="3"/>
  <c r="T203" i="3" s="1"/>
  <c r="U203" i="3" s="1"/>
  <c r="V203" i="3" s="1"/>
  <c r="AB203" i="3" s="1"/>
  <c r="M192" i="3"/>
  <c r="T192" i="3" s="1"/>
  <c r="U192" i="3" s="1"/>
  <c r="V192" i="3" s="1"/>
  <c r="AB192" i="3" s="1"/>
  <c r="M233" i="3"/>
  <c r="T233" i="3" s="1"/>
  <c r="U233" i="3" s="1"/>
  <c r="V233" i="3" s="1"/>
  <c r="AB233" i="3" s="1"/>
  <c r="M224" i="3"/>
  <c r="T224" i="3" s="1"/>
  <c r="U224" i="3" s="1"/>
  <c r="V224" i="3" s="1"/>
  <c r="AB224" i="3" s="1"/>
  <c r="AC224" i="3" s="1"/>
  <c r="M256" i="3"/>
  <c r="T256" i="3" s="1"/>
  <c r="U256" i="3" s="1"/>
  <c r="V256" i="3" s="1"/>
  <c r="AB256" i="3" s="1"/>
  <c r="M83" i="3"/>
  <c r="T83" i="3" s="1"/>
  <c r="U83" i="3" s="1"/>
  <c r="V83" i="3" s="1"/>
  <c r="AB83" i="3" s="1"/>
  <c r="M105" i="3"/>
  <c r="N105" i="3" s="1"/>
  <c r="O105" i="3" s="1"/>
  <c r="P105" i="3" s="1"/>
  <c r="M106" i="3"/>
  <c r="N106" i="3" s="1"/>
  <c r="O106" i="3" s="1"/>
  <c r="P106" i="3" s="1"/>
  <c r="M109" i="3"/>
  <c r="N109" i="3" s="1"/>
  <c r="O109" i="3" s="1"/>
  <c r="P109" i="3" s="1"/>
  <c r="M152" i="3"/>
  <c r="N152" i="3" s="1"/>
  <c r="O152" i="3" s="1"/>
  <c r="P152" i="3" s="1"/>
  <c r="M133" i="3"/>
  <c r="N133" i="3" s="1"/>
  <c r="O133" i="3" s="1"/>
  <c r="P133" i="3" s="1"/>
  <c r="M165" i="3"/>
  <c r="N165" i="3" s="1"/>
  <c r="O165" i="3" s="1"/>
  <c r="P165" i="3" s="1"/>
  <c r="M162" i="3"/>
  <c r="T162" i="3" s="1"/>
  <c r="U162" i="3" s="1"/>
  <c r="V162" i="3" s="1"/>
  <c r="AB162" i="3" s="1"/>
  <c r="M197" i="3"/>
  <c r="T197" i="3" s="1"/>
  <c r="U197" i="3" s="1"/>
  <c r="V197" i="3" s="1"/>
  <c r="AB197" i="3" s="1"/>
  <c r="M231" i="3"/>
  <c r="T231" i="3" s="1"/>
  <c r="U231" i="3" s="1"/>
  <c r="V231" i="3" s="1"/>
  <c r="AB231" i="3" s="1"/>
  <c r="AD231" i="3" s="1"/>
  <c r="M242" i="3"/>
  <c r="T242" i="3" s="1"/>
  <c r="U242" i="3" s="1"/>
  <c r="V242" i="3" s="1"/>
  <c r="AB242" i="3" s="1"/>
  <c r="M237" i="3"/>
  <c r="T237" i="3" s="1"/>
  <c r="U237" i="3" s="1"/>
  <c r="V237" i="3" s="1"/>
  <c r="AB237" i="3" s="1"/>
  <c r="M260" i="3"/>
  <c r="T260" i="3" s="1"/>
  <c r="U260" i="3" s="1"/>
  <c r="V260" i="3" s="1"/>
  <c r="AB260" i="3" s="1"/>
  <c r="M77" i="3"/>
  <c r="N77" i="3" s="1"/>
  <c r="O77" i="3" s="1"/>
  <c r="P77" i="3" s="1"/>
  <c r="M103" i="3"/>
  <c r="N103" i="3" s="1"/>
  <c r="O103" i="3" s="1"/>
  <c r="P103" i="3" s="1"/>
  <c r="M93" i="3"/>
  <c r="T93" i="3" s="1"/>
  <c r="U93" i="3" s="1"/>
  <c r="V93" i="3" s="1"/>
  <c r="AB93" i="3" s="1"/>
  <c r="AD93" i="3" s="1"/>
  <c r="M84" i="3"/>
  <c r="T84" i="3" s="1"/>
  <c r="U84" i="3" s="1"/>
  <c r="V84" i="3" s="1"/>
  <c r="AB84" i="3" s="1"/>
  <c r="M100" i="3"/>
  <c r="N100" i="3" s="1"/>
  <c r="O100" i="3" s="1"/>
  <c r="P100" i="3" s="1"/>
  <c r="X100" i="3" s="1"/>
  <c r="M122" i="3"/>
  <c r="N122" i="3" s="1"/>
  <c r="O122" i="3" s="1"/>
  <c r="P122" i="3" s="1"/>
  <c r="M76" i="3"/>
  <c r="T76" i="3" s="1"/>
  <c r="U76" i="3" s="1"/>
  <c r="V76" i="3" s="1"/>
  <c r="AB76" i="3" s="1"/>
  <c r="M134" i="3"/>
  <c r="T134" i="3" s="1"/>
  <c r="U134" i="3" s="1"/>
  <c r="V134" i="3" s="1"/>
  <c r="AB134" i="3" s="1"/>
  <c r="AC134" i="3" s="1"/>
  <c r="M146" i="3"/>
  <c r="N146" i="3" s="1"/>
  <c r="O146" i="3" s="1"/>
  <c r="P146" i="3" s="1"/>
  <c r="M112" i="3"/>
  <c r="N112" i="3" s="1"/>
  <c r="O112" i="3" s="1"/>
  <c r="P112" i="3" s="1"/>
  <c r="M127" i="3"/>
  <c r="T127" i="3" s="1"/>
  <c r="U127" i="3" s="1"/>
  <c r="V127" i="3" s="1"/>
  <c r="AB127" i="3" s="1"/>
  <c r="AC127" i="3" s="1"/>
  <c r="M143" i="3"/>
  <c r="T143" i="3" s="1"/>
  <c r="U143" i="3" s="1"/>
  <c r="V143" i="3" s="1"/>
  <c r="AB143" i="3" s="1"/>
  <c r="M159" i="3"/>
  <c r="T159" i="3" s="1"/>
  <c r="U159" i="3" s="1"/>
  <c r="V159" i="3" s="1"/>
  <c r="AB159" i="3" s="1"/>
  <c r="M179" i="3"/>
  <c r="T179" i="3" s="1"/>
  <c r="U179" i="3" s="1"/>
  <c r="V179" i="3" s="1"/>
  <c r="AB179" i="3" s="1"/>
  <c r="AD179" i="3" s="1"/>
  <c r="M156" i="3"/>
  <c r="N156" i="3" s="1"/>
  <c r="O156" i="3" s="1"/>
  <c r="P156" i="3" s="1"/>
  <c r="M186" i="3"/>
  <c r="N186" i="3" s="1"/>
  <c r="O186" i="3" s="1"/>
  <c r="P186" i="3" s="1"/>
  <c r="M193" i="3"/>
  <c r="T193" i="3" s="1"/>
  <c r="U193" i="3" s="1"/>
  <c r="V193" i="3" s="1"/>
  <c r="AB193" i="3" s="1"/>
  <c r="M209" i="3"/>
  <c r="N209" i="3" s="1"/>
  <c r="O209" i="3" s="1"/>
  <c r="P209" i="3" s="1"/>
  <c r="M206" i="3"/>
  <c r="N206" i="3" s="1"/>
  <c r="O206" i="3" s="1"/>
  <c r="P206" i="3" s="1"/>
  <c r="M216" i="3"/>
  <c r="T216" i="3" s="1"/>
  <c r="U216" i="3" s="1"/>
  <c r="V216" i="3" s="1"/>
  <c r="M219" i="3"/>
  <c r="N219" i="3" s="1"/>
  <c r="O219" i="3" s="1"/>
  <c r="P219" i="3" s="1"/>
  <c r="M244" i="3"/>
  <c r="T244" i="3" s="1"/>
  <c r="U244" i="3" s="1"/>
  <c r="V244" i="3" s="1"/>
  <c r="AB244" i="3" s="1"/>
  <c r="M240" i="3"/>
  <c r="N240" i="3" s="1"/>
  <c r="O240" i="3" s="1"/>
  <c r="P240" i="3" s="1"/>
  <c r="M226" i="3"/>
  <c r="N226" i="3" s="1"/>
  <c r="O226" i="3" s="1"/>
  <c r="P226" i="3" s="1"/>
  <c r="M239" i="3"/>
  <c r="N239" i="3" s="1"/>
  <c r="O239" i="3" s="1"/>
  <c r="P239" i="3" s="1"/>
  <c r="M250" i="3"/>
  <c r="N250" i="3" s="1"/>
  <c r="O250" i="3" s="1"/>
  <c r="P250" i="3" s="1"/>
  <c r="X250" i="3" s="1"/>
  <c r="M249" i="3"/>
  <c r="T249" i="3" s="1"/>
  <c r="U249" i="3" s="1"/>
  <c r="V249" i="3" s="1"/>
  <c r="AB249" i="3" s="1"/>
  <c r="AC249" i="3" s="1"/>
  <c r="M257" i="3"/>
  <c r="N257" i="3" s="1"/>
  <c r="O257" i="3" s="1"/>
  <c r="P257" i="3" s="1"/>
  <c r="M262" i="3"/>
  <c r="N262" i="3" s="1"/>
  <c r="O262" i="3" s="1"/>
  <c r="P262" i="3" s="1"/>
  <c r="M79" i="3"/>
  <c r="T79" i="3" s="1"/>
  <c r="U79" i="3" s="1"/>
  <c r="V79" i="3" s="1"/>
  <c r="AB79" i="3" s="1"/>
  <c r="AD79" i="3" s="1"/>
  <c r="M91" i="3"/>
  <c r="T91" i="3" s="1"/>
  <c r="U91" i="3" s="1"/>
  <c r="V91" i="3" s="1"/>
  <c r="AB91" i="3" s="1"/>
  <c r="M107" i="3"/>
  <c r="T107" i="3" s="1"/>
  <c r="U107" i="3" s="1"/>
  <c r="V107" i="3" s="1"/>
  <c r="AB107" i="3" s="1"/>
  <c r="M75" i="3"/>
  <c r="N75" i="3" s="1"/>
  <c r="O75" i="3" s="1"/>
  <c r="P75" i="3" s="1"/>
  <c r="M97" i="3"/>
  <c r="T97" i="3" s="1"/>
  <c r="U97" i="3" s="1"/>
  <c r="V97" i="3" s="1"/>
  <c r="AB97" i="3" s="1"/>
  <c r="M130" i="3"/>
  <c r="N130" i="3" s="1"/>
  <c r="O130" i="3" s="1"/>
  <c r="P130" i="3" s="1"/>
  <c r="M86" i="3"/>
  <c r="N86" i="3" s="1"/>
  <c r="O86" i="3" s="1"/>
  <c r="P86" i="3" s="1"/>
  <c r="M94" i="3"/>
  <c r="T94" i="3" s="1"/>
  <c r="U94" i="3" s="1"/>
  <c r="V94" i="3" s="1"/>
  <c r="AB94" i="3" s="1"/>
  <c r="M102" i="3"/>
  <c r="N102" i="3" s="1"/>
  <c r="O102" i="3" s="1"/>
  <c r="P102" i="3" s="1"/>
  <c r="M118" i="3"/>
  <c r="T118" i="3" s="1"/>
  <c r="U118" i="3" s="1"/>
  <c r="V118" i="3" s="1"/>
  <c r="AB118" i="3" s="1"/>
  <c r="M128" i="3"/>
  <c r="T128" i="3" s="1"/>
  <c r="U128" i="3" s="1"/>
  <c r="V128" i="3" s="1"/>
  <c r="AB128" i="3" s="1"/>
  <c r="M70" i="3"/>
  <c r="N70" i="3" s="1"/>
  <c r="O70" i="3" s="1"/>
  <c r="P70" i="3" s="1"/>
  <c r="M78" i="3"/>
  <c r="N78" i="3" s="1"/>
  <c r="O78" i="3" s="1"/>
  <c r="P78" i="3" s="1"/>
  <c r="M113" i="3"/>
  <c r="T113" i="3" s="1"/>
  <c r="U113" i="3" s="1"/>
  <c r="V113" i="3" s="1"/>
  <c r="AB113" i="3" s="1"/>
  <c r="M173" i="3"/>
  <c r="T173" i="3" s="1"/>
  <c r="U173" i="3" s="1"/>
  <c r="V173" i="3" s="1"/>
  <c r="AB173" i="3" s="1"/>
  <c r="AD173" i="3" s="1"/>
  <c r="M140" i="3"/>
  <c r="T140" i="3" s="1"/>
  <c r="U140" i="3" s="1"/>
  <c r="V140" i="3" s="1"/>
  <c r="AB140" i="3" s="1"/>
  <c r="M148" i="3"/>
  <c r="N148" i="3" s="1"/>
  <c r="O148" i="3" s="1"/>
  <c r="P148" i="3" s="1"/>
  <c r="M175" i="3"/>
  <c r="N175" i="3" s="1"/>
  <c r="O175" i="3" s="1"/>
  <c r="P175" i="3" s="1"/>
  <c r="M114" i="3"/>
  <c r="N114" i="3" s="1"/>
  <c r="O114" i="3" s="1"/>
  <c r="P114" i="3" s="1"/>
  <c r="M121" i="3"/>
  <c r="T121" i="3" s="1"/>
  <c r="U121" i="3" s="1"/>
  <c r="V121" i="3" s="1"/>
  <c r="AB121" i="3" s="1"/>
  <c r="M129" i="3"/>
  <c r="N129" i="3" s="1"/>
  <c r="O129" i="3" s="1"/>
  <c r="P129" i="3" s="1"/>
  <c r="M137" i="3"/>
  <c r="T137" i="3" s="1"/>
  <c r="U137" i="3" s="1"/>
  <c r="V137" i="3" s="1"/>
  <c r="AB137" i="3" s="1"/>
  <c r="M145" i="3"/>
  <c r="N145" i="3" s="1"/>
  <c r="O145" i="3" s="1"/>
  <c r="P145" i="3" s="1"/>
  <c r="M153" i="3"/>
  <c r="T153" i="3" s="1"/>
  <c r="U153" i="3" s="1"/>
  <c r="V153" i="3" s="1"/>
  <c r="AB153" i="3" s="1"/>
  <c r="AD153" i="3" s="1"/>
  <c r="M161" i="3"/>
  <c r="T161" i="3" s="1"/>
  <c r="U161" i="3" s="1"/>
  <c r="V161" i="3" s="1"/>
  <c r="AB161" i="3" s="1"/>
  <c r="M169" i="3"/>
  <c r="N169" i="3" s="1"/>
  <c r="O169" i="3" s="1"/>
  <c r="P169" i="3" s="1"/>
  <c r="M170" i="3"/>
  <c r="T170" i="3" s="1"/>
  <c r="U170" i="3" s="1"/>
  <c r="V170" i="3" s="1"/>
  <c r="AB170" i="3" s="1"/>
  <c r="M178" i="3"/>
  <c r="T178" i="3" s="1"/>
  <c r="U178" i="3" s="1"/>
  <c r="V178" i="3" s="1"/>
  <c r="AB178" i="3" s="1"/>
  <c r="M158" i="3"/>
  <c r="N158" i="3" s="1"/>
  <c r="O158" i="3" s="1"/>
  <c r="P158" i="3" s="1"/>
  <c r="M166" i="3"/>
  <c r="T166" i="3" s="1"/>
  <c r="U166" i="3" s="1"/>
  <c r="V166" i="3" s="1"/>
  <c r="AB166" i="3" s="1"/>
  <c r="M205" i="3"/>
  <c r="T205" i="3" s="1"/>
  <c r="U205" i="3" s="1"/>
  <c r="V205" i="3" s="1"/>
  <c r="AB205" i="3" s="1"/>
  <c r="M187" i="3"/>
  <c r="N187" i="3" s="1"/>
  <c r="O187" i="3" s="1"/>
  <c r="P187" i="3" s="1"/>
  <c r="M207" i="3"/>
  <c r="T207" i="3" s="1"/>
  <c r="U207" i="3" s="1"/>
  <c r="V207" i="3" s="1"/>
  <c r="AB207" i="3" s="1"/>
  <c r="M201" i="3"/>
  <c r="N201" i="3" s="1"/>
  <c r="O201" i="3" s="1"/>
  <c r="P201" i="3" s="1"/>
  <c r="M188" i="3"/>
  <c r="N188" i="3" s="1"/>
  <c r="O188" i="3" s="1"/>
  <c r="P188" i="3" s="1"/>
  <c r="M196" i="3"/>
  <c r="N196" i="3" s="1"/>
  <c r="O196" i="3" s="1"/>
  <c r="P196" i="3" s="1"/>
  <c r="M211" i="3"/>
  <c r="T211" i="3" s="1"/>
  <c r="U211" i="3" s="1"/>
  <c r="V211" i="3" s="1"/>
  <c r="AB211" i="3" s="1"/>
  <c r="M210" i="3"/>
  <c r="T210" i="3" s="1"/>
  <c r="U210" i="3" s="1"/>
  <c r="V210" i="3" s="1"/>
  <c r="AB210" i="3" s="1"/>
  <c r="M218" i="3"/>
  <c r="T218" i="3" s="1"/>
  <c r="U218" i="3" s="1"/>
  <c r="V218" i="3" s="1"/>
  <c r="M221" i="3"/>
  <c r="T221" i="3" s="1"/>
  <c r="U221" i="3" s="1"/>
  <c r="V221" i="3" s="1"/>
  <c r="AB221" i="3" s="1"/>
  <c r="AC221" i="3" s="1"/>
  <c r="M215" i="3"/>
  <c r="N215" i="3" s="1"/>
  <c r="O215" i="3" s="1"/>
  <c r="P215" i="3" s="1"/>
  <c r="M246" i="3"/>
  <c r="N246" i="3" s="1"/>
  <c r="O246" i="3" s="1"/>
  <c r="P246" i="3" s="1"/>
  <c r="M220" i="3"/>
  <c r="T220" i="3" s="1"/>
  <c r="U220" i="3" s="1"/>
  <c r="V220" i="3" s="1"/>
  <c r="AB220" i="3" s="1"/>
  <c r="M228" i="3"/>
  <c r="N228" i="3" s="1"/>
  <c r="O228" i="3" s="1"/>
  <c r="P228" i="3" s="1"/>
  <c r="M247" i="3"/>
  <c r="N247" i="3" s="1"/>
  <c r="O247" i="3" s="1"/>
  <c r="P247" i="3" s="1"/>
  <c r="X247" i="3" s="1"/>
  <c r="M241" i="3"/>
  <c r="N241" i="3" s="1"/>
  <c r="O241" i="3" s="1"/>
  <c r="P241" i="3" s="1"/>
  <c r="M252" i="3"/>
  <c r="T252" i="3" s="1"/>
  <c r="U252" i="3" s="1"/>
  <c r="V252" i="3" s="1"/>
  <c r="AB252" i="3" s="1"/>
  <c r="M251" i="3"/>
  <c r="T251" i="3" s="1"/>
  <c r="U251" i="3" s="1"/>
  <c r="V251" i="3" s="1"/>
  <c r="AB251" i="3" s="1"/>
  <c r="M259" i="3"/>
  <c r="N259" i="3" s="1"/>
  <c r="O259" i="3" s="1"/>
  <c r="P259" i="3" s="1"/>
  <c r="M264" i="3"/>
  <c r="N264" i="3" s="1"/>
  <c r="O264" i="3" s="1"/>
  <c r="P264" i="3" s="1"/>
  <c r="M87" i="3"/>
  <c r="N87" i="3" s="1"/>
  <c r="O87" i="3" s="1"/>
  <c r="P87" i="3" s="1"/>
  <c r="M71" i="3"/>
  <c r="N71" i="3" s="1"/>
  <c r="O71" i="3" s="1"/>
  <c r="P71" i="3" s="1"/>
  <c r="M65" i="3"/>
  <c r="N65" i="3" s="1"/>
  <c r="O65" i="3" s="1"/>
  <c r="P65" i="3" s="1"/>
  <c r="M92" i="3"/>
  <c r="N92" i="3" s="1"/>
  <c r="O92" i="3" s="1"/>
  <c r="P92" i="3" s="1"/>
  <c r="X92" i="3" s="1"/>
  <c r="Y92" i="3" s="1"/>
  <c r="M108" i="3"/>
  <c r="T108" i="3" s="1"/>
  <c r="U108" i="3" s="1"/>
  <c r="V108" i="3" s="1"/>
  <c r="AB108" i="3" s="1"/>
  <c r="M68" i="3"/>
  <c r="N68" i="3" s="1"/>
  <c r="O68" i="3" s="1"/>
  <c r="P68" i="3" s="1"/>
  <c r="M111" i="3"/>
  <c r="T111" i="3" s="1"/>
  <c r="U111" i="3" s="1"/>
  <c r="V111" i="3" s="1"/>
  <c r="AB111" i="3" s="1"/>
  <c r="M138" i="3"/>
  <c r="T138" i="3" s="1"/>
  <c r="U138" i="3" s="1"/>
  <c r="V138" i="3" s="1"/>
  <c r="AB138" i="3" s="1"/>
  <c r="AC138" i="3" s="1"/>
  <c r="M154" i="3"/>
  <c r="T154" i="3" s="1"/>
  <c r="U154" i="3" s="1"/>
  <c r="V154" i="3" s="1"/>
  <c r="AB154" i="3" s="1"/>
  <c r="M119" i="3"/>
  <c r="N119" i="3" s="1"/>
  <c r="O119" i="3" s="1"/>
  <c r="P119" i="3" s="1"/>
  <c r="M135" i="3"/>
  <c r="N135" i="3" s="1"/>
  <c r="O135" i="3" s="1"/>
  <c r="P135" i="3" s="1"/>
  <c r="X135" i="3" s="1"/>
  <c r="M151" i="3"/>
  <c r="T151" i="3" s="1"/>
  <c r="U151" i="3" s="1"/>
  <c r="V151" i="3" s="1"/>
  <c r="AB151" i="3" s="1"/>
  <c r="M167" i="3"/>
  <c r="T167" i="3" s="1"/>
  <c r="U167" i="3" s="1"/>
  <c r="V167" i="3" s="1"/>
  <c r="AB167" i="3" s="1"/>
  <c r="M176" i="3"/>
  <c r="T176" i="3" s="1"/>
  <c r="U176" i="3" s="1"/>
  <c r="V176" i="3" s="1"/>
  <c r="AB176" i="3" s="1"/>
  <c r="M164" i="3"/>
  <c r="N164" i="3" s="1"/>
  <c r="O164" i="3" s="1"/>
  <c r="P164" i="3" s="1"/>
  <c r="M185" i="3"/>
  <c r="N185" i="3" s="1"/>
  <c r="O185" i="3" s="1"/>
  <c r="P185" i="3" s="1"/>
  <c r="M199" i="3"/>
  <c r="N199" i="3" s="1"/>
  <c r="O199" i="3" s="1"/>
  <c r="P199" i="3" s="1"/>
  <c r="M194" i="3"/>
  <c r="T194" i="3" s="1"/>
  <c r="U194" i="3" s="1"/>
  <c r="V194" i="3" s="1"/>
  <c r="AB194" i="3" s="1"/>
  <c r="M235" i="3"/>
  <c r="N235" i="3" s="1"/>
  <c r="O235" i="3" s="1"/>
  <c r="P235" i="3" s="1"/>
  <c r="M227" i="3"/>
  <c r="T227" i="3" s="1"/>
  <c r="U227" i="3" s="1"/>
  <c r="V227" i="3" s="1"/>
  <c r="AB227" i="3" s="1"/>
  <c r="M234" i="3"/>
  <c r="T234" i="3" s="1"/>
  <c r="U234" i="3" s="1"/>
  <c r="V234" i="3" s="1"/>
  <c r="AB234" i="3" s="1"/>
  <c r="AC234" i="3" s="1"/>
  <c r="M81" i="3"/>
  <c r="T81" i="3" s="1"/>
  <c r="U81" i="3" s="1"/>
  <c r="V81" i="3" s="1"/>
  <c r="AB81" i="3" s="1"/>
  <c r="M95" i="3"/>
  <c r="N95" i="3" s="1"/>
  <c r="O95" i="3" s="1"/>
  <c r="P95" i="3" s="1"/>
  <c r="X95" i="3" s="1"/>
  <c r="M67" i="3"/>
  <c r="T67" i="3" s="1"/>
  <c r="M85" i="3"/>
  <c r="N85" i="3" s="1"/>
  <c r="O85" i="3" s="1"/>
  <c r="P85" i="3" s="1"/>
  <c r="M101" i="3"/>
  <c r="N101" i="3" s="1"/>
  <c r="O101" i="3" s="1"/>
  <c r="P101" i="3" s="1"/>
  <c r="M82" i="3"/>
  <c r="N82" i="3" s="1"/>
  <c r="O82" i="3" s="1"/>
  <c r="P82" i="3" s="1"/>
  <c r="M88" i="3"/>
  <c r="T88" i="3" s="1"/>
  <c r="U88" i="3" s="1"/>
  <c r="V88" i="3" s="1"/>
  <c r="AB88" i="3" s="1"/>
  <c r="AC88" i="3" s="1"/>
  <c r="M96" i="3"/>
  <c r="M104" i="3"/>
  <c r="N104" i="3" s="1"/>
  <c r="O104" i="3" s="1"/>
  <c r="P104" i="3" s="1"/>
  <c r="M124" i="3"/>
  <c r="T124" i="3" s="1"/>
  <c r="U124" i="3" s="1"/>
  <c r="V124" i="3" s="1"/>
  <c r="AB124" i="3" s="1"/>
  <c r="M64" i="3"/>
  <c r="T64" i="3" s="1"/>
  <c r="U64" i="3" s="1"/>
  <c r="V64" i="3" s="1"/>
  <c r="M72" i="3"/>
  <c r="N72" i="3" s="1"/>
  <c r="O72" i="3" s="1"/>
  <c r="P72" i="3" s="1"/>
  <c r="M80" i="3"/>
  <c r="N80" i="3" s="1"/>
  <c r="O80" i="3" s="1"/>
  <c r="P80" i="3" s="1"/>
  <c r="M116" i="3"/>
  <c r="T116" i="3" s="1"/>
  <c r="U116" i="3" s="1"/>
  <c r="V116" i="3" s="1"/>
  <c r="AB116" i="3" s="1"/>
  <c r="M183" i="3"/>
  <c r="N183" i="3" s="1"/>
  <c r="O183" i="3" s="1"/>
  <c r="P183" i="3" s="1"/>
  <c r="M142" i="3"/>
  <c r="N142" i="3" s="1"/>
  <c r="O142" i="3" s="1"/>
  <c r="P142" i="3" s="1"/>
  <c r="M150" i="3"/>
  <c r="N150" i="3" s="1"/>
  <c r="O150" i="3" s="1"/>
  <c r="P150" i="3" s="1"/>
  <c r="M181" i="3"/>
  <c r="N181" i="3" s="1"/>
  <c r="O181" i="3" s="1"/>
  <c r="P181" i="3" s="1"/>
  <c r="M115" i="3"/>
  <c r="T115" i="3" s="1"/>
  <c r="U115" i="3" s="1"/>
  <c r="V115" i="3" s="1"/>
  <c r="M123" i="3"/>
  <c r="T123" i="3" s="1"/>
  <c r="U123" i="3" s="1"/>
  <c r="V123" i="3" s="1"/>
  <c r="AB123" i="3" s="1"/>
  <c r="AD123" i="3" s="1"/>
  <c r="M131" i="3"/>
  <c r="T131" i="3" s="1"/>
  <c r="U131" i="3" s="1"/>
  <c r="V131" i="3" s="1"/>
  <c r="AB131" i="3" s="1"/>
  <c r="AD131" i="3" s="1"/>
  <c r="M139" i="3"/>
  <c r="N139" i="3" s="1"/>
  <c r="O139" i="3" s="1"/>
  <c r="P139" i="3" s="1"/>
  <c r="M147" i="3"/>
  <c r="T147" i="3" s="1"/>
  <c r="U147" i="3" s="1"/>
  <c r="V147" i="3" s="1"/>
  <c r="AB147" i="3" s="1"/>
  <c r="M155" i="3"/>
  <c r="T155" i="3" s="1"/>
  <c r="U155" i="3" s="1"/>
  <c r="V155" i="3" s="1"/>
  <c r="AB155" i="3" s="1"/>
  <c r="AD155" i="3" s="1"/>
  <c r="M163" i="3"/>
  <c r="T163" i="3" s="1"/>
  <c r="U163" i="3" s="1"/>
  <c r="V163" i="3" s="1"/>
  <c r="AB163" i="3" s="1"/>
  <c r="M177" i="3"/>
  <c r="T177" i="3" s="1"/>
  <c r="U177" i="3" s="1"/>
  <c r="V177" i="3" s="1"/>
  <c r="AB177" i="3" s="1"/>
  <c r="M172" i="3"/>
  <c r="T172" i="3" s="1"/>
  <c r="U172" i="3" s="1"/>
  <c r="V172" i="3" s="1"/>
  <c r="AB172" i="3" s="1"/>
  <c r="AD172" i="3" s="1"/>
  <c r="M180" i="3"/>
  <c r="T180" i="3" s="1"/>
  <c r="U180" i="3" s="1"/>
  <c r="V180" i="3" s="1"/>
  <c r="AB180" i="3" s="1"/>
  <c r="AD180" i="3" s="1"/>
  <c r="M160" i="3"/>
  <c r="N160" i="3" s="1"/>
  <c r="O160" i="3" s="1"/>
  <c r="P160" i="3" s="1"/>
  <c r="M168" i="3"/>
  <c r="N168" i="3" s="1"/>
  <c r="O168" i="3" s="1"/>
  <c r="P168" i="3" s="1"/>
  <c r="M208" i="3"/>
  <c r="T208" i="3" s="1"/>
  <c r="U208" i="3" s="1"/>
  <c r="V208" i="3" s="1"/>
  <c r="AB208" i="3" s="1"/>
  <c r="AC208" i="3" s="1"/>
  <c r="M189" i="3"/>
  <c r="T189" i="3" s="1"/>
  <c r="U189" i="3" s="1"/>
  <c r="V189" i="3" s="1"/>
  <c r="AB189" i="3" s="1"/>
  <c r="M195" i="3"/>
  <c r="N195" i="3" s="1"/>
  <c r="O195" i="3" s="1"/>
  <c r="P195" i="3" s="1"/>
  <c r="M202" i="3"/>
  <c r="T202" i="3" s="1"/>
  <c r="U202" i="3" s="1"/>
  <c r="V202" i="3" s="1"/>
  <c r="AB202" i="3" s="1"/>
  <c r="M190" i="3"/>
  <c r="T190" i="3" s="1"/>
  <c r="U190" i="3" s="1"/>
  <c r="V190" i="3" s="1"/>
  <c r="AB190" i="3" s="1"/>
  <c r="AD190" i="3" s="1"/>
  <c r="M198" i="3"/>
  <c r="N198" i="3" s="1"/>
  <c r="O198" i="3" s="1"/>
  <c r="P198" i="3" s="1"/>
  <c r="M213" i="3"/>
  <c r="T213" i="3" s="1"/>
  <c r="U213" i="3" s="1"/>
  <c r="V213" i="3" s="1"/>
  <c r="AB213" i="3" s="1"/>
  <c r="M212" i="3"/>
  <c r="T212" i="3" s="1"/>
  <c r="U212" i="3" s="1"/>
  <c r="V212" i="3" s="1"/>
  <c r="AB212" i="3" s="1"/>
  <c r="M229" i="3"/>
  <c r="N229" i="3" s="1"/>
  <c r="O229" i="3" s="1"/>
  <c r="P229" i="3" s="1"/>
  <c r="M223" i="3"/>
  <c r="T223" i="3" s="1"/>
  <c r="U223" i="3" s="1"/>
  <c r="V223" i="3" s="1"/>
  <c r="AB223" i="3" s="1"/>
  <c r="M217" i="3"/>
  <c r="N217" i="3" s="1"/>
  <c r="O217" i="3" s="1"/>
  <c r="P217" i="3" s="1"/>
  <c r="M236" i="3"/>
  <c r="T236" i="3" s="1"/>
  <c r="U236" i="3" s="1"/>
  <c r="V236" i="3" s="1"/>
  <c r="AB236" i="3" s="1"/>
  <c r="M222" i="3"/>
  <c r="N222" i="3" s="1"/>
  <c r="O222" i="3" s="1"/>
  <c r="P222" i="3" s="1"/>
  <c r="M230" i="3"/>
  <c r="N230" i="3" s="1"/>
  <c r="O230" i="3" s="1"/>
  <c r="P230" i="3" s="1"/>
  <c r="M248" i="3"/>
  <c r="T248" i="3" s="1"/>
  <c r="U248" i="3" s="1"/>
  <c r="V248" i="3" s="1"/>
  <c r="AB248" i="3" s="1"/>
  <c r="AD248" i="3" s="1"/>
  <c r="M243" i="3"/>
  <c r="T243" i="3" s="1"/>
  <c r="U243" i="3" s="1"/>
  <c r="V243" i="3" s="1"/>
  <c r="AB243" i="3" s="1"/>
  <c r="AD243" i="3" s="1"/>
  <c r="M254" i="3"/>
  <c r="T254" i="3" s="1"/>
  <c r="U254" i="3" s="1"/>
  <c r="V254" i="3" s="1"/>
  <c r="AB254" i="3" s="1"/>
  <c r="AD254" i="3" s="1"/>
  <c r="M253" i="3"/>
  <c r="N253" i="3" s="1"/>
  <c r="O253" i="3" s="1"/>
  <c r="P253" i="3" s="1"/>
  <c r="M258" i="3"/>
  <c r="N258" i="3" s="1"/>
  <c r="O258" i="3" s="1"/>
  <c r="P258" i="3" s="1"/>
  <c r="T95" i="3"/>
  <c r="U95" i="3" s="1"/>
  <c r="V95" i="3" s="1"/>
  <c r="AB95" i="3" s="1"/>
  <c r="AD95" i="3" s="1"/>
  <c r="N208" i="3"/>
  <c r="O208" i="3" s="1"/>
  <c r="P208" i="3" s="1"/>
  <c r="AT69" i="3"/>
  <c r="AU69" i="3" s="1"/>
  <c r="F116" i="3"/>
  <c r="H116" i="3" s="1"/>
  <c r="AO210" i="3"/>
  <c r="AP251" i="3"/>
  <c r="AP191" i="3"/>
  <c r="AP118" i="3"/>
  <c r="AP105" i="3"/>
  <c r="T171" i="3"/>
  <c r="U171" i="3" s="1"/>
  <c r="V171" i="3" s="1"/>
  <c r="AB171" i="3" s="1"/>
  <c r="AD171" i="3" s="1"/>
  <c r="K29" i="1"/>
  <c r="AO211" i="3"/>
  <c r="AP157" i="3"/>
  <c r="AP89" i="3"/>
  <c r="AP196" i="3"/>
  <c r="AP224" i="3"/>
  <c r="AP94" i="3"/>
  <c r="AP98" i="3"/>
  <c r="AO204" i="3"/>
  <c r="AO144" i="3"/>
  <c r="AO136" i="3"/>
  <c r="AO111" i="3"/>
  <c r="AO180" i="3"/>
  <c r="AO264" i="3"/>
  <c r="AP181" i="3"/>
  <c r="AO114" i="3"/>
  <c r="AP204" i="3"/>
  <c r="AP77" i="3"/>
  <c r="AO78" i="3"/>
  <c r="AO120" i="3"/>
  <c r="AO99" i="3"/>
  <c r="AP139" i="3"/>
  <c r="AO157" i="3"/>
  <c r="AO93" i="3"/>
  <c r="AO128" i="3"/>
  <c r="AO151" i="3"/>
  <c r="AP264" i="3"/>
  <c r="AO195" i="3"/>
  <c r="AO89" i="3"/>
  <c r="AO119" i="3"/>
  <c r="AO238" i="3"/>
  <c r="AO227" i="3"/>
  <c r="AO219" i="3"/>
  <c r="AO220" i="3"/>
  <c r="AO209" i="3"/>
  <c r="AO200" i="3"/>
  <c r="AO101" i="3"/>
  <c r="AO168" i="3"/>
  <c r="AO72" i="3"/>
  <c r="AO250" i="3"/>
  <c r="AO97" i="3"/>
  <c r="AP134" i="3"/>
  <c r="AP72" i="3"/>
  <c r="AO256" i="3"/>
  <c r="AP209" i="3"/>
  <c r="AP87" i="3"/>
  <c r="AO246" i="3"/>
  <c r="AO184" i="3"/>
  <c r="AO194" i="3"/>
  <c r="AP220" i="3"/>
  <c r="AP173" i="3"/>
  <c r="AP150" i="3"/>
  <c r="AP73" i="3"/>
  <c r="AO254" i="3"/>
  <c r="AO218" i="3"/>
  <c r="AO222" i="3"/>
  <c r="AO167" i="3"/>
  <c r="AO148" i="3"/>
  <c r="AO143" i="3"/>
  <c r="AP168" i="3"/>
  <c r="AP76" i="3"/>
  <c r="AO172" i="3"/>
  <c r="AO137" i="3"/>
  <c r="AO81" i="3"/>
  <c r="AP175" i="3"/>
  <c r="AP117" i="3"/>
  <c r="AO190" i="3"/>
  <c r="AO176" i="3"/>
  <c r="AO134" i="3"/>
  <c r="AP239" i="3"/>
  <c r="AT210" i="3"/>
  <c r="AU210" i="3" s="1"/>
  <c r="AT182" i="3"/>
  <c r="AU182" i="3" s="1"/>
  <c r="AT174" i="3"/>
  <c r="AU174" i="3" s="1"/>
  <c r="AT180" i="3"/>
  <c r="AU180" i="3" s="1"/>
  <c r="AT212" i="3"/>
  <c r="AU212" i="3" s="1"/>
  <c r="AT207" i="3"/>
  <c r="AU207" i="3" s="1"/>
  <c r="AW207" i="3" s="1"/>
  <c r="AT235" i="3"/>
  <c r="AU235" i="3" s="1"/>
  <c r="AP93" i="3"/>
  <c r="AP229" i="3"/>
  <c r="AO182" i="3"/>
  <c r="AO174" i="3"/>
  <c r="AO188" i="3"/>
  <c r="AO71" i="3"/>
  <c r="AO83" i="3"/>
  <c r="AP91" i="3"/>
  <c r="AP66" i="3"/>
  <c r="AO239" i="3"/>
  <c r="AO206" i="3"/>
  <c r="AO177" i="3"/>
  <c r="AO107" i="3"/>
  <c r="AO76" i="3"/>
  <c r="AP244" i="3"/>
  <c r="AP221" i="3"/>
  <c r="AP211" i="3"/>
  <c r="AP208" i="3"/>
  <c r="AP165" i="3"/>
  <c r="AP174" i="3"/>
  <c r="AP142" i="3"/>
  <c r="AO248" i="3"/>
  <c r="AO229" i="3"/>
  <c r="AO186" i="3"/>
  <c r="AO147" i="3"/>
  <c r="AO73" i="3"/>
  <c r="AO103" i="3"/>
  <c r="AO198" i="3"/>
  <c r="AO152" i="3"/>
  <c r="AO77" i="3"/>
  <c r="AO68" i="3"/>
  <c r="AP171" i="3"/>
  <c r="AP113" i="3"/>
  <c r="AO173" i="3"/>
  <c r="AO130" i="3"/>
  <c r="AO158" i="3"/>
  <c r="AO129" i="3"/>
  <c r="AO121" i="3"/>
  <c r="AO88" i="3"/>
  <c r="AO85" i="3"/>
  <c r="AO244" i="3"/>
  <c r="AO163" i="3"/>
  <c r="AO161" i="3"/>
  <c r="AO192" i="3"/>
  <c r="AO118" i="3"/>
  <c r="AO109" i="3"/>
  <c r="AO87" i="3"/>
  <c r="AO66" i="3"/>
  <c r="AO86" i="3"/>
  <c r="AO64" i="3"/>
  <c r="AO263" i="3"/>
  <c r="AO261" i="3"/>
  <c r="AP252" i="3"/>
  <c r="AP158" i="3"/>
  <c r="AO140" i="3"/>
  <c r="AP260" i="3"/>
  <c r="AP241" i="3"/>
  <c r="AP163" i="3"/>
  <c r="AO260" i="3"/>
  <c r="AO252" i="3"/>
  <c r="AO113" i="3"/>
  <c r="AO145" i="3"/>
  <c r="AO225" i="3"/>
  <c r="AP261" i="3"/>
  <c r="AP231" i="3"/>
  <c r="AP107" i="3"/>
  <c r="AP141" i="3"/>
  <c r="AO231" i="3"/>
  <c r="AO142" i="3"/>
  <c r="AO141" i="3"/>
  <c r="G100" i="3"/>
  <c r="F261" i="3"/>
  <c r="H261" i="3" s="1"/>
  <c r="F207" i="3"/>
  <c r="G207" i="3" s="1"/>
  <c r="F170" i="3"/>
  <c r="G170" i="3" s="1"/>
  <c r="F253" i="3"/>
  <c r="G253" i="3" s="1"/>
  <c r="AT188" i="3"/>
  <c r="AU188" i="3" s="1"/>
  <c r="AT181" i="3"/>
  <c r="AU181" i="3" s="1"/>
  <c r="AT130" i="3"/>
  <c r="AU130" i="3" s="1"/>
  <c r="AW130" i="3" s="1"/>
  <c r="AT111" i="3"/>
  <c r="AU111" i="3" s="1"/>
  <c r="AT264" i="3"/>
  <c r="AU264" i="3" s="1"/>
  <c r="AT72" i="3"/>
  <c r="AU72" i="3" s="1"/>
  <c r="AT190" i="3"/>
  <c r="AU190" i="3" s="1"/>
  <c r="AW190" i="3" s="1"/>
  <c r="AT95" i="3"/>
  <c r="AU95" i="3" s="1"/>
  <c r="AT239" i="3"/>
  <c r="AU239" i="3" s="1"/>
  <c r="AT218" i="3"/>
  <c r="AU218" i="3" s="1"/>
  <c r="AT140" i="3"/>
  <c r="AU140" i="3" s="1"/>
  <c r="AW140" i="3" s="1"/>
  <c r="AT152" i="3"/>
  <c r="AU152" i="3" s="1"/>
  <c r="AW152" i="3" s="1"/>
  <c r="AT260" i="3"/>
  <c r="AU260" i="3" s="1"/>
  <c r="AT164" i="3"/>
  <c r="AU164" i="3" s="1"/>
  <c r="AT148" i="3"/>
  <c r="AU148" i="3" s="1"/>
  <c r="AW148" i="3" s="1"/>
  <c r="AT115" i="3"/>
  <c r="AU115" i="3" s="1"/>
  <c r="AW115" i="3" s="1"/>
  <c r="AT197" i="3"/>
  <c r="AU197" i="3" s="1"/>
  <c r="AW197" i="3" s="1"/>
  <c r="AT198" i="3"/>
  <c r="AU198" i="3" s="1"/>
  <c r="AT172" i="3"/>
  <c r="AU172" i="3" s="1"/>
  <c r="AT128" i="3"/>
  <c r="AU128" i="3" s="1"/>
  <c r="AW128" i="3" s="1"/>
  <c r="AY128" i="3" s="1"/>
  <c r="AT151" i="3"/>
  <c r="AU151" i="3" s="1"/>
  <c r="AT105" i="3"/>
  <c r="AU105" i="3" s="1"/>
  <c r="AP256" i="3"/>
  <c r="F158" i="3"/>
  <c r="G158" i="3" s="1"/>
  <c r="AP122" i="3"/>
  <c r="AP114" i="3"/>
  <c r="AP248" i="3"/>
  <c r="AP218" i="3"/>
  <c r="AP85" i="3"/>
  <c r="K28" i="1"/>
  <c r="H218" i="3"/>
  <c r="F246" i="3"/>
  <c r="G246" i="3" s="1"/>
  <c r="F217" i="3"/>
  <c r="G217" i="3" s="1"/>
  <c r="F201" i="3"/>
  <c r="G201" i="3" s="1"/>
  <c r="J72" i="2"/>
  <c r="P72" i="2"/>
  <c r="N72" i="2"/>
  <c r="O72" i="2"/>
  <c r="I72" i="2"/>
  <c r="M72" i="2"/>
  <c r="K72" i="2"/>
  <c r="F222" i="3"/>
  <c r="G222" i="3" s="1"/>
  <c r="F152" i="3"/>
  <c r="H152" i="3" s="1"/>
  <c r="AT131" i="3"/>
  <c r="AU131" i="3" s="1"/>
  <c r="AT77" i="3"/>
  <c r="AU77" i="3" s="1"/>
  <c r="AT68" i="3"/>
  <c r="AU68" i="3" s="1"/>
  <c r="AW68" i="3" s="1"/>
  <c r="AO237" i="3"/>
  <c r="AT228" i="3"/>
  <c r="AU228" i="3" s="1"/>
  <c r="F161" i="3"/>
  <c r="AP236" i="3"/>
  <c r="AO193" i="3"/>
  <c r="AO159" i="3"/>
  <c r="AT147" i="3"/>
  <c r="AU147" i="3" s="1"/>
  <c r="AP127" i="3"/>
  <c r="AO110" i="3"/>
  <c r="AP179" i="3"/>
  <c r="AO258" i="3"/>
  <c r="AO191" i="3"/>
  <c r="AT165" i="3"/>
  <c r="AU165" i="3" s="1"/>
  <c r="AO79" i="3"/>
  <c r="AP230" i="3"/>
  <c r="AO202" i="3"/>
  <c r="AO127" i="3"/>
  <c r="G254" i="3"/>
  <c r="G188" i="3"/>
  <c r="AP262" i="3"/>
  <c r="AT123" i="3"/>
  <c r="AU123" i="3" s="1"/>
  <c r="AW123" i="3" s="1"/>
  <c r="AP111" i="3"/>
  <c r="AO226" i="3"/>
  <c r="AT120" i="3"/>
  <c r="AU120" i="3" s="1"/>
  <c r="AT184" i="3"/>
  <c r="AU184" i="3" s="1"/>
  <c r="AW184" i="3" s="1"/>
  <c r="AY184" i="3" s="1"/>
  <c r="AT187" i="3"/>
  <c r="AU187" i="3" s="1"/>
  <c r="AO179" i="3"/>
  <c r="AO228" i="3"/>
  <c r="AO175" i="3"/>
  <c r="AP78" i="3"/>
  <c r="AP243" i="3"/>
  <c r="AP234" i="3"/>
  <c r="AP126" i="3"/>
  <c r="AP112" i="3"/>
  <c r="F259" i="3"/>
  <c r="G259" i="3" s="1"/>
  <c r="F64" i="3"/>
  <c r="H64" i="3" s="1"/>
  <c r="AT262" i="3"/>
  <c r="AU262" i="3" s="1"/>
  <c r="AO249" i="3"/>
  <c r="AO240" i="3"/>
  <c r="AT248" i="3"/>
  <c r="AU248" i="3" s="1"/>
  <c r="AO221" i="3"/>
  <c r="AO201" i="3"/>
  <c r="AO132" i="3"/>
  <c r="AO124" i="3"/>
  <c r="AO116" i="3"/>
  <c r="AO155" i="3"/>
  <c r="AO257" i="3"/>
  <c r="AT226" i="3"/>
  <c r="AU226" i="3" s="1"/>
  <c r="AT110" i="3"/>
  <c r="AU110" i="3" s="1"/>
  <c r="AW110" i="3" s="1"/>
  <c r="AP189" i="3"/>
  <c r="AP79" i="3"/>
  <c r="F219" i="3"/>
  <c r="G219" i="3" s="1"/>
  <c r="F214" i="3"/>
  <c r="G214" i="3" s="1"/>
  <c r="F163" i="3"/>
  <c r="H163" i="3" s="1"/>
  <c r="AP121" i="3"/>
  <c r="AT216" i="3"/>
  <c r="AU216" i="3" s="1"/>
  <c r="AW216" i="3" s="1"/>
  <c r="AX216" i="3" s="1"/>
  <c r="AO156" i="3"/>
  <c r="AO150" i="3"/>
  <c r="AO149" i="3"/>
  <c r="AO178" i="3"/>
  <c r="AT227" i="3"/>
  <c r="AU227" i="3" s="1"/>
  <c r="AT219" i="3"/>
  <c r="AU219" i="3" s="1"/>
  <c r="AW219" i="3" s="1"/>
  <c r="AT208" i="3"/>
  <c r="AU208" i="3" s="1"/>
  <c r="AT179" i="3"/>
  <c r="AU179" i="3" s="1"/>
  <c r="AT158" i="3"/>
  <c r="AU158" i="3" s="1"/>
  <c r="F136" i="3"/>
  <c r="G136" i="3" s="1"/>
  <c r="AO205" i="3"/>
  <c r="AT168" i="3"/>
  <c r="AU168" i="3" s="1"/>
  <c r="AP202" i="3"/>
  <c r="AP178" i="3"/>
  <c r="AP70" i="3"/>
  <c r="AO251" i="3"/>
  <c r="AT176" i="3"/>
  <c r="AU176" i="3" s="1"/>
  <c r="AT192" i="3"/>
  <c r="AU192" i="3" s="1"/>
  <c r="AW192" i="3" s="1"/>
  <c r="AO126" i="3"/>
  <c r="AT133" i="3"/>
  <c r="AU133" i="3" s="1"/>
  <c r="AW133" i="3" s="1"/>
  <c r="AT125" i="3"/>
  <c r="AU125" i="3" s="1"/>
  <c r="AW125" i="3" s="1"/>
  <c r="AO92" i="3"/>
  <c r="AO105" i="3"/>
  <c r="AT89" i="3"/>
  <c r="AU89" i="3" s="1"/>
  <c r="AO95" i="3"/>
  <c r="AT74" i="3"/>
  <c r="AU74" i="3" s="1"/>
  <c r="AP233" i="3"/>
  <c r="AP185" i="3"/>
  <c r="AO253" i="3"/>
  <c r="AT236" i="3"/>
  <c r="AU236" i="3" s="1"/>
  <c r="AO183" i="3"/>
  <c r="AO185" i="3"/>
  <c r="AP172" i="3"/>
  <c r="AP95" i="3"/>
  <c r="F154" i="3"/>
  <c r="H154" i="3" s="1"/>
  <c r="AT246" i="3"/>
  <c r="AU246" i="3" s="1"/>
  <c r="AW246" i="3" s="1"/>
  <c r="AO216" i="3"/>
  <c r="AO199" i="3"/>
  <c r="AO165" i="3"/>
  <c r="AP187" i="3"/>
  <c r="AP146" i="3"/>
  <c r="AO122" i="3"/>
  <c r="AT122" i="3"/>
  <c r="AU122" i="3" s="1"/>
  <c r="AO153" i="3"/>
  <c r="AT112" i="3"/>
  <c r="AU112" i="3" s="1"/>
  <c r="AO104" i="3"/>
  <c r="AT79" i="3"/>
  <c r="AU79" i="3" s="1"/>
  <c r="AP247" i="3"/>
  <c r="AO230" i="3"/>
  <c r="AP253" i="3"/>
  <c r="AP183" i="3"/>
  <c r="AP144" i="3"/>
  <c r="F249" i="3"/>
  <c r="H249" i="3" s="1"/>
  <c r="F216" i="3"/>
  <c r="H216" i="3" s="1"/>
  <c r="AO242" i="3"/>
  <c r="AT250" i="3"/>
  <c r="AU250" i="3" s="1"/>
  <c r="AW250" i="3" s="1"/>
  <c r="AO223" i="3"/>
  <c r="AT202" i="3"/>
  <c r="AU202" i="3" s="1"/>
  <c r="AO169" i="3"/>
  <c r="AT149" i="3"/>
  <c r="AU149" i="3" s="1"/>
  <c r="AW149" i="3" s="1"/>
  <c r="AT141" i="3"/>
  <c r="AU141" i="3" s="1"/>
  <c r="AT97" i="3"/>
  <c r="AU97" i="3" s="1"/>
  <c r="AO139" i="3"/>
  <c r="AT87" i="3"/>
  <c r="AU87" i="3" s="1"/>
  <c r="AO70" i="3"/>
  <c r="AO74" i="3"/>
  <c r="AP64" i="3"/>
  <c r="AT261" i="3"/>
  <c r="AU261" i="3" s="1"/>
  <c r="AT253" i="3"/>
  <c r="AU253" i="3" s="1"/>
  <c r="AO233" i="3"/>
  <c r="AT177" i="3"/>
  <c r="AU177" i="3" s="1"/>
  <c r="AT119" i="3"/>
  <c r="AU119" i="3" s="1"/>
  <c r="AT91" i="3"/>
  <c r="AU91" i="3" s="1"/>
  <c r="AT64" i="3"/>
  <c r="AU64" i="3" s="1"/>
  <c r="G173" i="3"/>
  <c r="F212" i="3"/>
  <c r="G212" i="3" s="1"/>
  <c r="F223" i="3"/>
  <c r="H223" i="3" s="1"/>
  <c r="F171" i="3"/>
  <c r="H171" i="3" s="1"/>
  <c r="F82" i="3"/>
  <c r="H82" i="3" s="1"/>
  <c r="F202" i="3"/>
  <c r="G202" i="3" s="1"/>
  <c r="F203" i="3"/>
  <c r="G203" i="3" s="1"/>
  <c r="F129" i="3"/>
  <c r="G129" i="3" s="1"/>
  <c r="F111" i="3"/>
  <c r="G111" i="3" s="1"/>
  <c r="F236" i="3"/>
  <c r="G236" i="3" s="1"/>
  <c r="F192" i="3"/>
  <c r="H192" i="3" s="1"/>
  <c r="F175" i="3"/>
  <c r="H175" i="3" s="1"/>
  <c r="F109" i="3"/>
  <c r="G109" i="3" s="1"/>
  <c r="F211" i="3"/>
  <c r="G211" i="3" s="1"/>
  <c r="F145" i="3"/>
  <c r="G145" i="3" s="1"/>
  <c r="F238" i="3"/>
  <c r="G238" i="3" s="1"/>
  <c r="F208" i="3"/>
  <c r="H208" i="3" s="1"/>
  <c r="F137" i="3"/>
  <c r="H137" i="3" s="1"/>
  <c r="F138" i="3"/>
  <c r="G138" i="3" s="1"/>
  <c r="F189" i="3"/>
  <c r="H189" i="3" s="1"/>
  <c r="F88" i="3"/>
  <c r="H88" i="3" s="1"/>
  <c r="F231" i="3"/>
  <c r="H231" i="3" s="1"/>
  <c r="F186" i="3"/>
  <c r="G186" i="3" s="1"/>
  <c r="H243" i="3"/>
  <c r="G243" i="3"/>
  <c r="G142" i="3"/>
  <c r="G81" i="3"/>
  <c r="H81" i="3"/>
  <c r="H125" i="3"/>
  <c r="H169" i="3"/>
  <c r="H120" i="3"/>
  <c r="G120" i="3"/>
  <c r="G75" i="3"/>
  <c r="G184" i="3"/>
  <c r="H184" i="3"/>
  <c r="G174" i="3"/>
  <c r="H174" i="3"/>
  <c r="H95" i="3"/>
  <c r="AT106" i="3"/>
  <c r="AU106" i="3" s="1"/>
  <c r="AT90" i="3"/>
  <c r="AU90" i="3" s="1"/>
  <c r="AW90" i="3" s="1"/>
  <c r="G245" i="3"/>
  <c r="H229" i="3"/>
  <c r="F185" i="3"/>
  <c r="AO207" i="3"/>
  <c r="AO106" i="3"/>
  <c r="AO90" i="3"/>
  <c r="AT103" i="3"/>
  <c r="AU103" i="3" s="1"/>
  <c r="AW103" i="3" s="1"/>
  <c r="F107" i="3"/>
  <c r="AT78" i="3"/>
  <c r="AU78" i="3" s="1"/>
  <c r="AT247" i="3"/>
  <c r="AU247" i="3" s="1"/>
  <c r="AT170" i="3"/>
  <c r="AU170" i="3" s="1"/>
  <c r="AW170" i="3" s="1"/>
  <c r="AT99" i="3"/>
  <c r="AU99" i="3" s="1"/>
  <c r="AW99" i="3" s="1"/>
  <c r="G135" i="3"/>
  <c r="H135" i="3"/>
  <c r="F172" i="3"/>
  <c r="F144" i="3"/>
  <c r="AT263" i="3"/>
  <c r="AU263" i="3" s="1"/>
  <c r="AW263" i="3" s="1"/>
  <c r="AT238" i="3"/>
  <c r="AU238" i="3" s="1"/>
  <c r="AW238" i="3" s="1"/>
  <c r="AO232" i="3"/>
  <c r="AT199" i="3"/>
  <c r="AU199" i="3" s="1"/>
  <c r="AT191" i="3"/>
  <c r="AU191" i="3" s="1"/>
  <c r="AT157" i="3"/>
  <c r="AU157" i="3" s="1"/>
  <c r="AT113" i="3"/>
  <c r="AU113" i="3" s="1"/>
  <c r="AO96" i="3"/>
  <c r="F233" i="3"/>
  <c r="AT102" i="3"/>
  <c r="AU102" i="3" s="1"/>
  <c r="AP254" i="3"/>
  <c r="AP167" i="3"/>
  <c r="AP164" i="3"/>
  <c r="F242" i="3"/>
  <c r="G182" i="3"/>
  <c r="F89" i="3"/>
  <c r="AO203" i="3"/>
  <c r="AP259" i="3"/>
  <c r="AP235" i="3"/>
  <c r="AP210" i="3"/>
  <c r="AP203" i="3"/>
  <c r="AP180" i="3"/>
  <c r="AP147" i="3"/>
  <c r="AP129" i="3"/>
  <c r="F260" i="3"/>
  <c r="F221" i="3"/>
  <c r="F195" i="3"/>
  <c r="F153" i="3"/>
  <c r="F72" i="3"/>
  <c r="AP151" i="3"/>
  <c r="G108" i="3"/>
  <c r="H108" i="3"/>
  <c r="AT256" i="3"/>
  <c r="AU256" i="3" s="1"/>
  <c r="AT249" i="3"/>
  <c r="AU249" i="3" s="1"/>
  <c r="AW249" i="3" s="1"/>
  <c r="AT254" i="3"/>
  <c r="AU254" i="3" s="1"/>
  <c r="AT240" i="3"/>
  <c r="AU240" i="3" s="1"/>
  <c r="AW240" i="3" s="1"/>
  <c r="AT229" i="3"/>
  <c r="AU229" i="3" s="1"/>
  <c r="AT221" i="3"/>
  <c r="AU221" i="3" s="1"/>
  <c r="AO243" i="3"/>
  <c r="AO234" i="3"/>
  <c r="AO217" i="3"/>
  <c r="AT193" i="3"/>
  <c r="AU193" i="3" s="1"/>
  <c r="AW193" i="3" s="1"/>
  <c r="AT186" i="3"/>
  <c r="AU186" i="3" s="1"/>
  <c r="AW186" i="3" s="1"/>
  <c r="AT167" i="3"/>
  <c r="AU167" i="3" s="1"/>
  <c r="AT159" i="3"/>
  <c r="AU159" i="3" s="1"/>
  <c r="AW159" i="3" s="1"/>
  <c r="AO164" i="3"/>
  <c r="AT132" i="3"/>
  <c r="AU132" i="3" s="1"/>
  <c r="AW132" i="3" s="1"/>
  <c r="AT124" i="3"/>
  <c r="AU124" i="3" s="1"/>
  <c r="AW124" i="3" s="1"/>
  <c r="AT116" i="3"/>
  <c r="AU116" i="3" s="1"/>
  <c r="AW116" i="3" s="1"/>
  <c r="AT160" i="3"/>
  <c r="AU160" i="3" s="1"/>
  <c r="AW160" i="3" s="1"/>
  <c r="AT155" i="3"/>
  <c r="AU155" i="3" s="1"/>
  <c r="AW155" i="3" s="1"/>
  <c r="AT114" i="3"/>
  <c r="AU114" i="3" s="1"/>
  <c r="F110" i="3"/>
  <c r="F99" i="3"/>
  <c r="AT127" i="3"/>
  <c r="AU127" i="3" s="1"/>
  <c r="AP194" i="3"/>
  <c r="F258" i="3"/>
  <c r="F200" i="3"/>
  <c r="F156" i="3"/>
  <c r="F176" i="3"/>
  <c r="F119" i="3"/>
  <c r="F128" i="3"/>
  <c r="AO208" i="3"/>
  <c r="AT200" i="3"/>
  <c r="AU200" i="3" s="1"/>
  <c r="AW200" i="3" s="1"/>
  <c r="AT154" i="3"/>
  <c r="AU154" i="3" s="1"/>
  <c r="AW154" i="3" s="1"/>
  <c r="AT146" i="3"/>
  <c r="AU146" i="3" s="1"/>
  <c r="AT138" i="3"/>
  <c r="AU138" i="3" s="1"/>
  <c r="AW138" i="3" s="1"/>
  <c r="AT153" i="3"/>
  <c r="AU153" i="3" s="1"/>
  <c r="AW153" i="3" s="1"/>
  <c r="AT145" i="3"/>
  <c r="AU145" i="3" s="1"/>
  <c r="AW145" i="3" s="1"/>
  <c r="AT137" i="3"/>
  <c r="AU137" i="3" s="1"/>
  <c r="AT104" i="3"/>
  <c r="AU104" i="3" s="1"/>
  <c r="AW104" i="3" s="1"/>
  <c r="F96" i="3"/>
  <c r="AT83" i="3"/>
  <c r="AU83" i="3" s="1"/>
  <c r="AW83" i="3" s="1"/>
  <c r="AT101" i="3"/>
  <c r="AU101" i="3" s="1"/>
  <c r="AW101" i="3" s="1"/>
  <c r="AT93" i="3"/>
  <c r="AU93" i="3" s="1"/>
  <c r="AT85" i="3"/>
  <c r="AU85" i="3" s="1"/>
  <c r="AP225" i="3"/>
  <c r="AP69" i="3"/>
  <c r="F230" i="3"/>
  <c r="F225" i="3"/>
  <c r="AT230" i="3"/>
  <c r="AU230" i="3" s="1"/>
  <c r="AP237" i="3"/>
  <c r="AP212" i="3"/>
  <c r="AP109" i="3"/>
  <c r="AP75" i="3"/>
  <c r="F239" i="3"/>
  <c r="F213" i="3"/>
  <c r="F205" i="3"/>
  <c r="F155" i="3"/>
  <c r="F74" i="3"/>
  <c r="AP74" i="3"/>
  <c r="AP106" i="3"/>
  <c r="AT259" i="3"/>
  <c r="AU259" i="3" s="1"/>
  <c r="AT251" i="3"/>
  <c r="AU251" i="3" s="1"/>
  <c r="AO255" i="3"/>
  <c r="AT242" i="3"/>
  <c r="AU242" i="3" s="1"/>
  <c r="AW242" i="3" s="1"/>
  <c r="AT231" i="3"/>
  <c r="AU231" i="3" s="1"/>
  <c r="AT223" i="3"/>
  <c r="AU223" i="3" s="1"/>
  <c r="AW223" i="3" s="1"/>
  <c r="AO245" i="3"/>
  <c r="AT237" i="3"/>
  <c r="AU237" i="3" s="1"/>
  <c r="AO215" i="3"/>
  <c r="AT195" i="3"/>
  <c r="AU195" i="3" s="1"/>
  <c r="AW195" i="3" s="1"/>
  <c r="AO241" i="3"/>
  <c r="AO196" i="3"/>
  <c r="AT161" i="3"/>
  <c r="AU161" i="3" s="1"/>
  <c r="AW161" i="3" s="1"/>
  <c r="AO166" i="3"/>
  <c r="AT126" i="3"/>
  <c r="AU126" i="3" s="1"/>
  <c r="AT118" i="3"/>
  <c r="AU118" i="3" s="1"/>
  <c r="AT162" i="3"/>
  <c r="AU162" i="3" s="1"/>
  <c r="AW162" i="3" s="1"/>
  <c r="AT109" i="3"/>
  <c r="AU109" i="3" s="1"/>
  <c r="AT108" i="3"/>
  <c r="AU108" i="3" s="1"/>
  <c r="AW108" i="3" s="1"/>
  <c r="AT67" i="3"/>
  <c r="AU67" i="3" s="1"/>
  <c r="AW67" i="3" s="1"/>
  <c r="H77" i="3"/>
  <c r="AT139" i="3"/>
  <c r="AU139" i="3" s="1"/>
  <c r="AT98" i="3"/>
  <c r="AU98" i="3" s="1"/>
  <c r="AT82" i="3"/>
  <c r="AU82" i="3" s="1"/>
  <c r="AW82" i="3" s="1"/>
  <c r="AT65" i="3"/>
  <c r="AU65" i="3" s="1"/>
  <c r="AW65" i="3" s="1"/>
  <c r="AT70" i="3"/>
  <c r="AU70" i="3" s="1"/>
  <c r="F86" i="3"/>
  <c r="AP143" i="3"/>
  <c r="AP206" i="3"/>
  <c r="AP177" i="3"/>
  <c r="F91" i="3"/>
  <c r="AT214" i="3"/>
  <c r="AU214" i="3" s="1"/>
  <c r="AT204" i="3"/>
  <c r="AU204" i="3" s="1"/>
  <c r="AT178" i="3"/>
  <c r="AU178" i="3" s="1"/>
  <c r="AT185" i="3"/>
  <c r="AU185" i="3" s="1"/>
  <c r="AT107" i="3"/>
  <c r="AU107" i="3" s="1"/>
  <c r="F112" i="3"/>
  <c r="AO187" i="3"/>
  <c r="AO112" i="3"/>
  <c r="AT96" i="3"/>
  <c r="AU96" i="3" s="1"/>
  <c r="AW96" i="3" s="1"/>
  <c r="H133" i="3"/>
  <c r="AO102" i="3"/>
  <c r="AP226" i="3"/>
  <c r="AP198" i="3"/>
  <c r="H215" i="3"/>
  <c r="F197" i="3"/>
  <c r="F160" i="3"/>
  <c r="F178" i="3"/>
  <c r="F139" i="3"/>
  <c r="F159" i="3"/>
  <c r="F105" i="3"/>
  <c r="AO259" i="3"/>
  <c r="AT245" i="3"/>
  <c r="AU245" i="3" s="1"/>
  <c r="AO224" i="3"/>
  <c r="AO212" i="3"/>
  <c r="AT203" i="3"/>
  <c r="AU203" i="3" s="1"/>
  <c r="AT241" i="3"/>
  <c r="AU241" i="3" s="1"/>
  <c r="AT175" i="3"/>
  <c r="AU175" i="3" s="1"/>
  <c r="AT166" i="3"/>
  <c r="AU166" i="3" s="1"/>
  <c r="AW166" i="3" s="1"/>
  <c r="AT150" i="3"/>
  <c r="AU150" i="3" s="1"/>
  <c r="AT142" i="3"/>
  <c r="AU142" i="3" s="1"/>
  <c r="AT134" i="3"/>
  <c r="AU134" i="3" s="1"/>
  <c r="AT100" i="3"/>
  <c r="AU100" i="3" s="1"/>
  <c r="AW100" i="3" s="1"/>
  <c r="G92" i="3"/>
  <c r="H92" i="3"/>
  <c r="AO84" i="3"/>
  <c r="N261" i="3"/>
  <c r="O261" i="3" s="1"/>
  <c r="P261" i="3" s="1"/>
  <c r="T261" i="3"/>
  <c r="U261" i="3" s="1"/>
  <c r="V261" i="3" s="1"/>
  <c r="AB261" i="3" s="1"/>
  <c r="G264" i="3"/>
  <c r="F183" i="3"/>
  <c r="F76" i="3"/>
  <c r="AO94" i="3"/>
  <c r="F177" i="3"/>
  <c r="G165" i="3"/>
  <c r="F157" i="3"/>
  <c r="H87" i="3"/>
  <c r="F140" i="3"/>
  <c r="AT243" i="3"/>
  <c r="AU243" i="3" s="1"/>
  <c r="AT234" i="3"/>
  <c r="AU234" i="3" s="1"/>
  <c r="AT222" i="3"/>
  <c r="AU222" i="3" s="1"/>
  <c r="AW222" i="3" s="1"/>
  <c r="AT217" i="3"/>
  <c r="AU217" i="3" s="1"/>
  <c r="AW217" i="3" s="1"/>
  <c r="AT201" i="3"/>
  <c r="AU201" i="3" s="1"/>
  <c r="AW201" i="3" s="1"/>
  <c r="AT213" i="3"/>
  <c r="AU213" i="3" s="1"/>
  <c r="AW213" i="3" s="1"/>
  <c r="AO160" i="3"/>
  <c r="AO131" i="3"/>
  <c r="AO123" i="3"/>
  <c r="AO115" i="3"/>
  <c r="AU257" i="3"/>
  <c r="AW257" i="3" s="1"/>
  <c r="AO197" i="3"/>
  <c r="AT143" i="3"/>
  <c r="AU143" i="3" s="1"/>
  <c r="AP258" i="3"/>
  <c r="AP227" i="3"/>
  <c r="AP156" i="3"/>
  <c r="F227" i="3"/>
  <c r="G244" i="3"/>
  <c r="F206" i="3"/>
  <c r="F151" i="3"/>
  <c r="AP102" i="3"/>
  <c r="AT258" i="3"/>
  <c r="AU258" i="3" s="1"/>
  <c r="AT252" i="3"/>
  <c r="AU252" i="3" s="1"/>
  <c r="AT209" i="3"/>
  <c r="AU209" i="3" s="1"/>
  <c r="AT173" i="3"/>
  <c r="AU173" i="3" s="1"/>
  <c r="AO154" i="3"/>
  <c r="AO146" i="3"/>
  <c r="AO138" i="3"/>
  <c r="AT129" i="3"/>
  <c r="AU129" i="3" s="1"/>
  <c r="AT121" i="3"/>
  <c r="AU121" i="3" s="1"/>
  <c r="AT88" i="3"/>
  <c r="AU88" i="3" s="1"/>
  <c r="AW88" i="3" s="1"/>
  <c r="AT71" i="3"/>
  <c r="AU71" i="3" s="1"/>
  <c r="F257" i="3"/>
  <c r="AT244" i="3"/>
  <c r="AU244" i="3" s="1"/>
  <c r="AT225" i="3"/>
  <c r="AU225" i="3" s="1"/>
  <c r="AT163" i="3"/>
  <c r="AU163" i="3" s="1"/>
  <c r="AT156" i="3"/>
  <c r="AU156" i="3" s="1"/>
  <c r="AO69" i="3"/>
  <c r="AT81" i="3"/>
  <c r="AU81" i="3" s="1"/>
  <c r="AP182" i="3"/>
  <c r="AP120" i="3"/>
  <c r="F255" i="3"/>
  <c r="F228" i="3"/>
  <c r="G204" i="3"/>
  <c r="H204" i="3"/>
  <c r="H179" i="3"/>
  <c r="G131" i="3"/>
  <c r="F97" i="3"/>
  <c r="F148" i="3"/>
  <c r="AP131" i="3"/>
  <c r="AT255" i="3"/>
  <c r="AU255" i="3" s="1"/>
  <c r="AW255" i="3" s="1"/>
  <c r="AT224" i="3"/>
  <c r="AU224" i="3" s="1"/>
  <c r="AT215" i="3"/>
  <c r="AU215" i="3" s="1"/>
  <c r="AW215" i="3" s="1"/>
  <c r="AT196" i="3"/>
  <c r="AU196" i="3" s="1"/>
  <c r="AT169" i="3"/>
  <c r="AU169" i="3" s="1"/>
  <c r="AW169" i="3" s="1"/>
  <c r="AO162" i="3"/>
  <c r="AO133" i="3"/>
  <c r="AO125" i="3"/>
  <c r="AO117" i="3"/>
  <c r="AO108" i="3"/>
  <c r="AT92" i="3"/>
  <c r="AU92" i="3" s="1"/>
  <c r="AW92" i="3" s="1"/>
  <c r="F90" i="3"/>
  <c r="AO98" i="3"/>
  <c r="AO82" i="3"/>
  <c r="F102" i="3"/>
  <c r="H198" i="3"/>
  <c r="G149" i="3"/>
  <c r="F68" i="3"/>
  <c r="AT233" i="3"/>
  <c r="AU233" i="3" s="1"/>
  <c r="AT171" i="3"/>
  <c r="AU171" i="3" s="1"/>
  <c r="AO100" i="3"/>
  <c r="AT84" i="3"/>
  <c r="AU84" i="3" s="1"/>
  <c r="AW84" i="3" s="1"/>
  <c r="AT75" i="3"/>
  <c r="AU75" i="3" s="1"/>
  <c r="F65" i="3"/>
  <c r="G106" i="3"/>
  <c r="AT66" i="3"/>
  <c r="AU66" i="3" s="1"/>
  <c r="AO236" i="3"/>
  <c r="AO214" i="3"/>
  <c r="AT206" i="3"/>
  <c r="AU206" i="3" s="1"/>
  <c r="AO189" i="3"/>
  <c r="AT183" i="3"/>
  <c r="AU183" i="3" s="1"/>
  <c r="AT144" i="3"/>
  <c r="AU144" i="3" s="1"/>
  <c r="AT136" i="3"/>
  <c r="AU136" i="3" s="1"/>
  <c r="AT135" i="3"/>
  <c r="AU135" i="3" s="1"/>
  <c r="AO135" i="3"/>
  <c r="AT94" i="3"/>
  <c r="AU94" i="3" s="1"/>
  <c r="AT86" i="3"/>
  <c r="AU86" i="3" s="1"/>
  <c r="AO91" i="3"/>
  <c r="AT76" i="3"/>
  <c r="AU76" i="3" s="1"/>
  <c r="H98" i="3" l="1"/>
  <c r="G73" i="3"/>
  <c r="X80" i="3"/>
  <c r="Y80" i="3" s="1"/>
  <c r="X125" i="3"/>
  <c r="Y125" i="3" s="1"/>
  <c r="G250" i="3"/>
  <c r="G224" i="3"/>
  <c r="G130" i="3"/>
  <c r="G247" i="3"/>
  <c r="H191" i="3"/>
  <c r="H80" i="3"/>
  <c r="G226" i="3"/>
  <c r="G118" i="3"/>
  <c r="H240" i="3"/>
  <c r="G248" i="3"/>
  <c r="X198" i="3"/>
  <c r="Z198" i="3" s="1"/>
  <c r="X142" i="3"/>
  <c r="Y142" i="3" s="1"/>
  <c r="X87" i="3"/>
  <c r="X188" i="3"/>
  <c r="X226" i="3"/>
  <c r="Z226" i="3" s="1"/>
  <c r="X191" i="3"/>
  <c r="Y191" i="3" s="1"/>
  <c r="G194" i="3"/>
  <c r="X229" i="3"/>
  <c r="Z229" i="3" s="1"/>
  <c r="X264" i="3"/>
  <c r="Z264" i="3" s="1"/>
  <c r="X169" i="3"/>
  <c r="Y169" i="3" s="1"/>
  <c r="X130" i="3"/>
  <c r="X240" i="3"/>
  <c r="X182" i="3"/>
  <c r="Y182" i="3" s="1"/>
  <c r="G70" i="3"/>
  <c r="G193" i="3"/>
  <c r="H190" i="3"/>
  <c r="H210" i="3"/>
  <c r="X70" i="3"/>
  <c r="Y70" i="3" s="1"/>
  <c r="H127" i="3"/>
  <c r="G168" i="3"/>
  <c r="H252" i="3"/>
  <c r="G150" i="3"/>
  <c r="G132" i="3"/>
  <c r="X168" i="3"/>
  <c r="X181" i="3"/>
  <c r="Y181" i="3" s="1"/>
  <c r="X78" i="3"/>
  <c r="Y78" i="3" s="1"/>
  <c r="X209" i="3"/>
  <c r="Z209" i="3" s="1"/>
  <c r="H181" i="3"/>
  <c r="X150" i="3"/>
  <c r="Z150" i="3" s="1"/>
  <c r="X133" i="3"/>
  <c r="Z133" i="3" s="1"/>
  <c r="AW81" i="3"/>
  <c r="AZ81" i="3" s="1"/>
  <c r="AW228" i="3"/>
  <c r="AW245" i="3"/>
  <c r="AZ245" i="3" s="1"/>
  <c r="AW71" i="3"/>
  <c r="AY71" i="3" s="1"/>
  <c r="G67" i="3"/>
  <c r="G146" i="3"/>
  <c r="X235" i="3"/>
  <c r="Y235" i="3" s="1"/>
  <c r="X106" i="3"/>
  <c r="Y106" i="3" s="1"/>
  <c r="G167" i="3"/>
  <c r="G114" i="3"/>
  <c r="G126" i="3"/>
  <c r="X101" i="3"/>
  <c r="Y101" i="3" s="1"/>
  <c r="X71" i="3"/>
  <c r="Y71" i="3" s="1"/>
  <c r="X187" i="3"/>
  <c r="Z187" i="3" s="1"/>
  <c r="X146" i="3"/>
  <c r="Y146" i="3" s="1"/>
  <c r="X77" i="3"/>
  <c r="Y77" i="3" s="1"/>
  <c r="X69" i="3"/>
  <c r="Y69" i="3" s="1"/>
  <c r="AW135" i="3"/>
  <c r="AY135" i="3" s="1"/>
  <c r="G235" i="3"/>
  <c r="X114" i="3"/>
  <c r="Y114" i="3" s="1"/>
  <c r="X232" i="3"/>
  <c r="Z232" i="3" s="1"/>
  <c r="X117" i="3"/>
  <c r="Z117" i="3" s="1"/>
  <c r="X65" i="3"/>
  <c r="Z65" i="3" s="1"/>
  <c r="X68" i="3"/>
  <c r="Z68" i="3" s="1"/>
  <c r="U67" i="3"/>
  <c r="V67" i="3" s="1"/>
  <c r="AB67" i="3" s="1"/>
  <c r="U66" i="3"/>
  <c r="V66" i="3" s="1"/>
  <c r="AB66" i="3" s="1"/>
  <c r="H124" i="3"/>
  <c r="G196" i="3"/>
  <c r="H143" i="3"/>
  <c r="H147" i="3"/>
  <c r="G262" i="3"/>
  <c r="H85" i="3"/>
  <c r="G162" i="3"/>
  <c r="G164" i="3"/>
  <c r="X196" i="3"/>
  <c r="Z196" i="3" s="1"/>
  <c r="X75" i="3"/>
  <c r="Z75" i="3" s="1"/>
  <c r="X262" i="3"/>
  <c r="Y262" i="3" s="1"/>
  <c r="H121" i="3"/>
  <c r="H94" i="3"/>
  <c r="G209" i="3"/>
  <c r="H115" i="3"/>
  <c r="G256" i="3"/>
  <c r="G69" i="3"/>
  <c r="H263" i="3"/>
  <c r="AW199" i="3"/>
  <c r="AW137" i="3"/>
  <c r="AZ137" i="3" s="1"/>
  <c r="G166" i="3"/>
  <c r="G79" i="3"/>
  <c r="X164" i="3"/>
  <c r="Z164" i="3" s="1"/>
  <c r="G199" i="3"/>
  <c r="G216" i="3"/>
  <c r="G123" i="3"/>
  <c r="G83" i="3"/>
  <c r="G251" i="3"/>
  <c r="H101" i="3"/>
  <c r="H170" i="3"/>
  <c r="AX80" i="3"/>
  <c r="G122" i="3"/>
  <c r="G66" i="3"/>
  <c r="H187" i="3"/>
  <c r="X85" i="3"/>
  <c r="Z85" i="3" s="1"/>
  <c r="AW119" i="3"/>
  <c r="AY119" i="3" s="1"/>
  <c r="AW188" i="3"/>
  <c r="AY188" i="3" s="1"/>
  <c r="N203" i="3"/>
  <c r="O203" i="3" s="1"/>
  <c r="P203" i="3" s="1"/>
  <c r="AW136" i="3"/>
  <c r="AX136" i="3" s="1"/>
  <c r="AW97" i="3"/>
  <c r="AX97" i="3" s="1"/>
  <c r="B32" i="2"/>
  <c r="C32" i="2" s="1"/>
  <c r="G141" i="3"/>
  <c r="H232" i="3"/>
  <c r="X103" i="3"/>
  <c r="Y103" i="3" s="1"/>
  <c r="H84" i="3"/>
  <c r="G134" i="3"/>
  <c r="H104" i="3"/>
  <c r="H103" i="3"/>
  <c r="H237" i="3"/>
  <c r="H220" i="3"/>
  <c r="H113" i="3"/>
  <c r="H78" i="3"/>
  <c r="G117" i="3"/>
  <c r="H180" i="3"/>
  <c r="X199" i="3"/>
  <c r="Y199" i="3" s="1"/>
  <c r="AW176" i="3"/>
  <c r="AX176" i="3" s="1"/>
  <c r="AW86" i="3"/>
  <c r="AX86" i="3" s="1"/>
  <c r="AW214" i="3"/>
  <c r="AY214" i="3" s="1"/>
  <c r="G71" i="3"/>
  <c r="G116" i="3"/>
  <c r="X215" i="3"/>
  <c r="Z215" i="3" s="1"/>
  <c r="X122" i="3"/>
  <c r="Y122" i="3" s="1"/>
  <c r="H234" i="3"/>
  <c r="G261" i="3"/>
  <c r="X165" i="3"/>
  <c r="Z165" i="3" s="1"/>
  <c r="X261" i="3"/>
  <c r="Z261" i="3" s="1"/>
  <c r="H253" i="3"/>
  <c r="G93" i="3"/>
  <c r="G241" i="3"/>
  <c r="H203" i="3"/>
  <c r="X104" i="3"/>
  <c r="Z104" i="3" s="1"/>
  <c r="H136" i="3"/>
  <c r="X241" i="3"/>
  <c r="Z241" i="3" s="1"/>
  <c r="N263" i="3"/>
  <c r="O263" i="3" s="1"/>
  <c r="P263" i="3" s="1"/>
  <c r="X263" i="3" s="1"/>
  <c r="Z263" i="3" s="1"/>
  <c r="B25" i="2"/>
  <c r="C25" i="2" s="1"/>
  <c r="B15" i="2"/>
  <c r="C15" i="2" s="1"/>
  <c r="B17" i="2"/>
  <c r="C17" i="2" s="1"/>
  <c r="B31" i="2"/>
  <c r="C31" i="2" s="1"/>
  <c r="B19" i="2"/>
  <c r="C19" i="2" s="1"/>
  <c r="T99" i="3"/>
  <c r="U99" i="3" s="1"/>
  <c r="V99" i="3" s="1"/>
  <c r="AB99" i="3" s="1"/>
  <c r="AD99" i="3" s="1"/>
  <c r="B21" i="2"/>
  <c r="C21" i="2" s="1"/>
  <c r="B40" i="2"/>
  <c r="C40" i="2" s="1"/>
  <c r="B34" i="2"/>
  <c r="C34" i="2" s="1"/>
  <c r="B14" i="2"/>
  <c r="C14" i="2" s="1"/>
  <c r="B36" i="2"/>
  <c r="C36" i="2" s="1"/>
  <c r="B28" i="2"/>
  <c r="C28" i="2" s="1"/>
  <c r="Q69" i="2"/>
  <c r="B27" i="2"/>
  <c r="C27" i="2" s="1"/>
  <c r="B22" i="2"/>
  <c r="C22" i="2" s="1"/>
  <c r="B29" i="2"/>
  <c r="C29" i="2" s="1"/>
  <c r="T117" i="3"/>
  <c r="U117" i="3" s="1"/>
  <c r="V117" i="3" s="1"/>
  <c r="AB117" i="3" s="1"/>
  <c r="B26" i="2"/>
  <c r="C26" i="2" s="1"/>
  <c r="B95" i="1"/>
  <c r="B41" i="1" s="1"/>
  <c r="N66" i="3"/>
  <c r="O66" i="3" s="1"/>
  <c r="P66" i="3" s="1"/>
  <c r="X66" i="3" s="1"/>
  <c r="B23" i="2"/>
  <c r="C23" i="2" s="1"/>
  <c r="T232" i="3"/>
  <c r="U232" i="3" s="1"/>
  <c r="V232" i="3" s="1"/>
  <c r="AB232" i="3" s="1"/>
  <c r="AD232" i="3" s="1"/>
  <c r="B30" i="2"/>
  <c r="C30" i="2" s="1"/>
  <c r="T214" i="3"/>
  <c r="U214" i="3" s="1"/>
  <c r="V214" i="3" s="1"/>
  <c r="AB214" i="3" s="1"/>
  <c r="AC214" i="3" s="1"/>
  <c r="N162" i="3"/>
  <c r="O162" i="3" s="1"/>
  <c r="P162" i="3" s="1"/>
  <c r="X162" i="3" s="1"/>
  <c r="AF162" i="3" s="1"/>
  <c r="N256" i="3"/>
  <c r="O256" i="3" s="1"/>
  <c r="P256" i="3" s="1"/>
  <c r="X256" i="3" s="1"/>
  <c r="Y256" i="3" s="1"/>
  <c r="T109" i="3"/>
  <c r="U109" i="3" s="1"/>
  <c r="V109" i="3" s="1"/>
  <c r="AB109" i="3" s="1"/>
  <c r="AC109" i="3" s="1"/>
  <c r="B38" i="2"/>
  <c r="C38" i="2" s="1"/>
  <c r="B37" i="2"/>
  <c r="C37" i="2" s="1"/>
  <c r="Q70" i="2"/>
  <c r="Q71" i="2"/>
  <c r="B35" i="2"/>
  <c r="C35" i="2" s="1"/>
  <c r="B16" i="2"/>
  <c r="C16" i="2" s="1"/>
  <c r="B20" i="2"/>
  <c r="C20" i="2" s="1"/>
  <c r="B24" i="2"/>
  <c r="C24" i="2" s="1"/>
  <c r="B18" i="2"/>
  <c r="C18" i="2" s="1"/>
  <c r="B33" i="2"/>
  <c r="C33" i="2" s="1"/>
  <c r="Q68" i="2"/>
  <c r="B39" i="2"/>
  <c r="C39" i="2" s="1"/>
  <c r="N179" i="3"/>
  <c r="O179" i="3" s="1"/>
  <c r="P179" i="3" s="1"/>
  <c r="X179" i="3" s="1"/>
  <c r="Y179" i="3" s="1"/>
  <c r="N202" i="3"/>
  <c r="O202" i="3" s="1"/>
  <c r="P202" i="3" s="1"/>
  <c r="X202" i="3" s="1"/>
  <c r="AF202" i="3" s="1"/>
  <c r="T122" i="3"/>
  <c r="U122" i="3" s="1"/>
  <c r="V122" i="3" s="1"/>
  <c r="AB122" i="3" s="1"/>
  <c r="AC122" i="3" s="1"/>
  <c r="N248" i="3"/>
  <c r="O248" i="3" s="1"/>
  <c r="P248" i="3" s="1"/>
  <c r="X248" i="3" s="1"/>
  <c r="Z248" i="3" s="1"/>
  <c r="N110" i="3"/>
  <c r="O110" i="3" s="1"/>
  <c r="P110" i="3" s="1"/>
  <c r="X110" i="3" s="1"/>
  <c r="Y110" i="3" s="1"/>
  <c r="T74" i="3"/>
  <c r="U74" i="3" s="1"/>
  <c r="V74" i="3" s="1"/>
  <c r="AB74" i="3" s="1"/>
  <c r="AC74" i="3" s="1"/>
  <c r="T182" i="3"/>
  <c r="U182" i="3" s="1"/>
  <c r="V182" i="3" s="1"/>
  <c r="AB182" i="3" s="1"/>
  <c r="AC182" i="3" s="1"/>
  <c r="N237" i="3"/>
  <c r="O237" i="3" s="1"/>
  <c r="P237" i="3" s="1"/>
  <c r="X237" i="3" s="1"/>
  <c r="AF237" i="3" s="1"/>
  <c r="T65" i="3"/>
  <c r="N79" i="3"/>
  <c r="O79" i="3" s="1"/>
  <c r="P79" i="3" s="1"/>
  <c r="X79" i="3" s="1"/>
  <c r="AF79" i="3" s="1"/>
  <c r="N141" i="3"/>
  <c r="O141" i="3" s="1"/>
  <c r="P141" i="3" s="1"/>
  <c r="X141" i="3" s="1"/>
  <c r="AF141" i="3" s="1"/>
  <c r="T135" i="3"/>
  <c r="U135" i="3" s="1"/>
  <c r="V135" i="3" s="1"/>
  <c r="AB135" i="3" s="1"/>
  <c r="AC135" i="3" s="1"/>
  <c r="T78" i="3"/>
  <c r="U78" i="3" s="1"/>
  <c r="V78" i="3" s="1"/>
  <c r="AB78" i="3" s="1"/>
  <c r="T82" i="3"/>
  <c r="U82" i="3" s="1"/>
  <c r="V82" i="3" s="1"/>
  <c r="AB82" i="3" s="1"/>
  <c r="AD82" i="3" s="1"/>
  <c r="N207" i="3"/>
  <c r="O207" i="3" s="1"/>
  <c r="P207" i="3" s="1"/>
  <c r="X207" i="3" s="1"/>
  <c r="Y207" i="3" s="1"/>
  <c r="T148" i="3"/>
  <c r="U148" i="3" s="1"/>
  <c r="V148" i="3" s="1"/>
  <c r="AB148" i="3" s="1"/>
  <c r="AD148" i="3" s="1"/>
  <c r="T102" i="3"/>
  <c r="U102" i="3" s="1"/>
  <c r="V102" i="3" s="1"/>
  <c r="AB102" i="3" s="1"/>
  <c r="AC102" i="3" s="1"/>
  <c r="T247" i="3"/>
  <c r="U247" i="3" s="1"/>
  <c r="V247" i="3" s="1"/>
  <c r="AB247" i="3" s="1"/>
  <c r="AF247" i="3" s="1"/>
  <c r="N73" i="3"/>
  <c r="O73" i="3" s="1"/>
  <c r="P73" i="3" s="1"/>
  <c r="X73" i="3" s="1"/>
  <c r="Z73" i="3" s="1"/>
  <c r="T136" i="3"/>
  <c r="U136" i="3" s="1"/>
  <c r="V136" i="3" s="1"/>
  <c r="AB136" i="3" s="1"/>
  <c r="AD136" i="3" s="1"/>
  <c r="T168" i="3"/>
  <c r="U168" i="3" s="1"/>
  <c r="V168" i="3" s="1"/>
  <c r="AB168" i="3" s="1"/>
  <c r="AC168" i="3" s="1"/>
  <c r="T158" i="3"/>
  <c r="U158" i="3" s="1"/>
  <c r="V158" i="3" s="1"/>
  <c r="AB158" i="3" s="1"/>
  <c r="AD158" i="3" s="1"/>
  <c r="T191" i="3"/>
  <c r="U191" i="3" s="1"/>
  <c r="V191" i="3" s="1"/>
  <c r="AB191" i="3" s="1"/>
  <c r="AC191" i="3" s="1"/>
  <c r="N238" i="3"/>
  <c r="O238" i="3" s="1"/>
  <c r="P238" i="3" s="1"/>
  <c r="X238" i="3" s="1"/>
  <c r="Z238" i="3" s="1"/>
  <c r="N177" i="3"/>
  <c r="O177" i="3" s="1"/>
  <c r="P177" i="3" s="1"/>
  <c r="X177" i="3" s="1"/>
  <c r="AF177" i="3" s="1"/>
  <c r="T77" i="3"/>
  <c r="U77" i="3" s="1"/>
  <c r="V77" i="3" s="1"/>
  <c r="AB77" i="3" s="1"/>
  <c r="AC77" i="3" s="1"/>
  <c r="N260" i="3"/>
  <c r="O260" i="3" s="1"/>
  <c r="P260" i="3" s="1"/>
  <c r="X260" i="3" s="1"/>
  <c r="N192" i="3"/>
  <c r="O192" i="3" s="1"/>
  <c r="P192" i="3" s="1"/>
  <c r="X192" i="3" s="1"/>
  <c r="Y192" i="3" s="1"/>
  <c r="N225" i="3"/>
  <c r="O225" i="3" s="1"/>
  <c r="P225" i="3" s="1"/>
  <c r="X225" i="3" s="1"/>
  <c r="N174" i="3"/>
  <c r="O174" i="3" s="1"/>
  <c r="P174" i="3" s="1"/>
  <c r="X174" i="3" s="1"/>
  <c r="Y174" i="3" s="1"/>
  <c r="N204" i="3"/>
  <c r="O204" i="3" s="1"/>
  <c r="P204" i="3" s="1"/>
  <c r="X204" i="3" s="1"/>
  <c r="Z204" i="3" s="1"/>
  <c r="N138" i="3"/>
  <c r="O138" i="3" s="1"/>
  <c r="P138" i="3" s="1"/>
  <c r="X138" i="3" s="1"/>
  <c r="T152" i="3"/>
  <c r="U152" i="3" s="1"/>
  <c r="V152" i="3" s="1"/>
  <c r="AB152" i="3" s="1"/>
  <c r="AD152" i="3" s="1"/>
  <c r="N151" i="3"/>
  <c r="O151" i="3" s="1"/>
  <c r="P151" i="3" s="1"/>
  <c r="X151" i="3" s="1"/>
  <c r="AF151" i="3" s="1"/>
  <c r="N126" i="3"/>
  <c r="O126" i="3" s="1"/>
  <c r="P126" i="3" s="1"/>
  <c r="X126" i="3" s="1"/>
  <c r="AF126" i="3" s="1"/>
  <c r="N163" i="3"/>
  <c r="O163" i="3" s="1"/>
  <c r="P163" i="3" s="1"/>
  <c r="X163" i="3" s="1"/>
  <c r="Y163" i="3" s="1"/>
  <c r="T71" i="3"/>
  <c r="U71" i="3" s="1"/>
  <c r="V71" i="3" s="1"/>
  <c r="AB71" i="3" s="1"/>
  <c r="T195" i="3"/>
  <c r="U195" i="3" s="1"/>
  <c r="V195" i="3" s="1"/>
  <c r="AB195" i="3" s="1"/>
  <c r="AD195" i="3" s="1"/>
  <c r="N90" i="3"/>
  <c r="O90" i="3" s="1"/>
  <c r="P90" i="3" s="1"/>
  <c r="X90" i="3" s="1"/>
  <c r="N132" i="3"/>
  <c r="O132" i="3" s="1"/>
  <c r="P132" i="3" s="1"/>
  <c r="X132" i="3" s="1"/>
  <c r="Z132" i="3" s="1"/>
  <c r="T160" i="3"/>
  <c r="U160" i="3" s="1"/>
  <c r="V160" i="3" s="1"/>
  <c r="AB160" i="3" s="1"/>
  <c r="AD160" i="3" s="1"/>
  <c r="N94" i="3"/>
  <c r="O94" i="3" s="1"/>
  <c r="P94" i="3" s="1"/>
  <c r="X94" i="3" s="1"/>
  <c r="AF94" i="3" s="1"/>
  <c r="T119" i="3"/>
  <c r="U119" i="3" s="1"/>
  <c r="V119" i="3" s="1"/>
  <c r="AB119" i="3" s="1"/>
  <c r="AD119" i="3" s="1"/>
  <c r="T157" i="3"/>
  <c r="U157" i="3" s="1"/>
  <c r="V157" i="3" s="1"/>
  <c r="AB157" i="3" s="1"/>
  <c r="AC157" i="3" s="1"/>
  <c r="N245" i="3"/>
  <c r="O245" i="3" s="1"/>
  <c r="P245" i="3" s="1"/>
  <c r="X245" i="3" s="1"/>
  <c r="AF245" i="3" s="1"/>
  <c r="N154" i="3"/>
  <c r="O154" i="3" s="1"/>
  <c r="P154" i="3" s="1"/>
  <c r="X154" i="3" s="1"/>
  <c r="Z154" i="3" s="1"/>
  <c r="N233" i="3"/>
  <c r="O233" i="3" s="1"/>
  <c r="P233" i="3" s="1"/>
  <c r="X233" i="3" s="1"/>
  <c r="AF233" i="3" s="1"/>
  <c r="N120" i="3"/>
  <c r="O120" i="3" s="1"/>
  <c r="P120" i="3" s="1"/>
  <c r="X120" i="3" s="1"/>
  <c r="Y120" i="3" s="1"/>
  <c r="N83" i="3"/>
  <c r="O83" i="3" s="1"/>
  <c r="P83" i="3" s="1"/>
  <c r="X83" i="3" s="1"/>
  <c r="Y83" i="3" s="1"/>
  <c r="T130" i="3"/>
  <c r="U130" i="3" s="1"/>
  <c r="V130" i="3" s="1"/>
  <c r="AB130" i="3" s="1"/>
  <c r="AC130" i="3" s="1"/>
  <c r="N197" i="3"/>
  <c r="O197" i="3" s="1"/>
  <c r="P197" i="3" s="1"/>
  <c r="X197" i="3" s="1"/>
  <c r="N184" i="3"/>
  <c r="O184" i="3" s="1"/>
  <c r="P184" i="3" s="1"/>
  <c r="X184" i="3" s="1"/>
  <c r="AF184" i="3" s="1"/>
  <c r="T89" i="3"/>
  <c r="U89" i="3" s="1"/>
  <c r="V89" i="3" s="1"/>
  <c r="AB89" i="3" s="1"/>
  <c r="AC89" i="3" s="1"/>
  <c r="T200" i="3"/>
  <c r="U200" i="3" s="1"/>
  <c r="V200" i="3" s="1"/>
  <c r="AB200" i="3" s="1"/>
  <c r="AC200" i="3" s="1"/>
  <c r="T133" i="3"/>
  <c r="U133" i="3" s="1"/>
  <c r="V133" i="3" s="1"/>
  <c r="AB133" i="3" s="1"/>
  <c r="AD133" i="3" s="1"/>
  <c r="N64" i="3"/>
  <c r="O64" i="3" s="1"/>
  <c r="P64" i="3" s="1"/>
  <c r="X64" i="3" s="1"/>
  <c r="T206" i="3"/>
  <c r="U206" i="3" s="1"/>
  <c r="V206" i="3" s="1"/>
  <c r="AB206" i="3" s="1"/>
  <c r="AD206" i="3" s="1"/>
  <c r="N91" i="3"/>
  <c r="O91" i="3" s="1"/>
  <c r="P91" i="3" s="1"/>
  <c r="X91" i="3" s="1"/>
  <c r="Z91" i="3" s="1"/>
  <c r="T156" i="3"/>
  <c r="U156" i="3" s="1"/>
  <c r="V156" i="3" s="1"/>
  <c r="AB156" i="3" s="1"/>
  <c r="AC156" i="3" s="1"/>
  <c r="T185" i="3"/>
  <c r="U185" i="3" s="1"/>
  <c r="V185" i="3" s="1"/>
  <c r="AB185" i="3" s="1"/>
  <c r="AC185" i="3" s="1"/>
  <c r="N115" i="3"/>
  <c r="O115" i="3" s="1"/>
  <c r="P115" i="3" s="1"/>
  <c r="X115" i="3" s="1"/>
  <c r="Y115" i="3" s="1"/>
  <c r="T229" i="3"/>
  <c r="U229" i="3" s="1"/>
  <c r="V229" i="3" s="1"/>
  <c r="AB229" i="3" s="1"/>
  <c r="AD229" i="3" s="1"/>
  <c r="N118" i="3"/>
  <c r="O118" i="3" s="1"/>
  <c r="P118" i="3" s="1"/>
  <c r="X118" i="3" s="1"/>
  <c r="Y118" i="3" s="1"/>
  <c r="T255" i="3"/>
  <c r="U255" i="3" s="1"/>
  <c r="V255" i="3" s="1"/>
  <c r="AB255" i="3" s="1"/>
  <c r="AC255" i="3" s="1"/>
  <c r="T144" i="3"/>
  <c r="U144" i="3" s="1"/>
  <c r="V144" i="3" s="1"/>
  <c r="AB144" i="3" s="1"/>
  <c r="AC144" i="3" s="1"/>
  <c r="N76" i="3"/>
  <c r="O76" i="3" s="1"/>
  <c r="P76" i="3" s="1"/>
  <c r="X76" i="3" s="1"/>
  <c r="Y76" i="3" s="1"/>
  <c r="N67" i="3"/>
  <c r="O67" i="3" s="1"/>
  <c r="P67" i="3" s="1"/>
  <c r="X67" i="3" s="1"/>
  <c r="T69" i="3"/>
  <c r="U69" i="3" s="1"/>
  <c r="V69" i="3" s="1"/>
  <c r="AB69" i="3" s="1"/>
  <c r="AC69" i="3" s="1"/>
  <c r="T175" i="3"/>
  <c r="U175" i="3" s="1"/>
  <c r="V175" i="3" s="1"/>
  <c r="AB175" i="3" s="1"/>
  <c r="AC175" i="3" s="1"/>
  <c r="T241" i="3"/>
  <c r="U241" i="3" s="1"/>
  <c r="V241" i="3" s="1"/>
  <c r="AB241" i="3" s="1"/>
  <c r="AC241" i="3" s="1"/>
  <c r="T125" i="3"/>
  <c r="U125" i="3" s="1"/>
  <c r="V125" i="3" s="1"/>
  <c r="AB125" i="3" s="1"/>
  <c r="AD125" i="3" s="1"/>
  <c r="N98" i="3"/>
  <c r="O98" i="3" s="1"/>
  <c r="P98" i="3" s="1"/>
  <c r="X98" i="3" s="1"/>
  <c r="Y98" i="3" s="1"/>
  <c r="T246" i="3"/>
  <c r="U246" i="3" s="1"/>
  <c r="V246" i="3" s="1"/>
  <c r="AZ246" i="3" s="1"/>
  <c r="T240" i="3"/>
  <c r="U240" i="3" s="1"/>
  <c r="V240" i="3" s="1"/>
  <c r="AB240" i="3" s="1"/>
  <c r="AC240" i="3" s="1"/>
  <c r="N147" i="3"/>
  <c r="O147" i="3" s="1"/>
  <c r="P147" i="3" s="1"/>
  <c r="X147" i="3" s="1"/>
  <c r="AF147" i="3" s="1"/>
  <c r="AG147" i="3" s="1"/>
  <c r="N254" i="3"/>
  <c r="O254" i="3" s="1"/>
  <c r="P254" i="3" s="1"/>
  <c r="X254" i="3" s="1"/>
  <c r="Z254" i="3" s="1"/>
  <c r="N127" i="3"/>
  <c r="O127" i="3" s="1"/>
  <c r="P127" i="3" s="1"/>
  <c r="X127" i="3" s="1"/>
  <c r="Z127" i="3" s="1"/>
  <c r="N137" i="3"/>
  <c r="O137" i="3" s="1"/>
  <c r="P137" i="3" s="1"/>
  <c r="X137" i="3" s="1"/>
  <c r="Y137" i="3" s="1"/>
  <c r="N149" i="3"/>
  <c r="O149" i="3" s="1"/>
  <c r="P149" i="3" s="1"/>
  <c r="X149" i="3" s="1"/>
  <c r="Z149" i="3" s="1"/>
  <c r="T106" i="3"/>
  <c r="U106" i="3" s="1"/>
  <c r="V106" i="3" s="1"/>
  <c r="AB106" i="3" s="1"/>
  <c r="AD106" i="3" s="1"/>
  <c r="N242" i="3"/>
  <c r="O242" i="3" s="1"/>
  <c r="P242" i="3" s="1"/>
  <c r="X242" i="3" s="1"/>
  <c r="T165" i="3"/>
  <c r="U165" i="3" s="1"/>
  <c r="V165" i="3" s="1"/>
  <c r="AB165" i="3" s="1"/>
  <c r="AC165" i="3" s="1"/>
  <c r="N143" i="3"/>
  <c r="O143" i="3" s="1"/>
  <c r="P143" i="3" s="1"/>
  <c r="X143" i="3" s="1"/>
  <c r="AF143" i="3" s="1"/>
  <c r="T201" i="3"/>
  <c r="U201" i="3" s="1"/>
  <c r="V201" i="3" s="1"/>
  <c r="AB201" i="3" s="1"/>
  <c r="AD201" i="3" s="1"/>
  <c r="N93" i="3"/>
  <c r="O93" i="3" s="1"/>
  <c r="P93" i="3" s="1"/>
  <c r="X93" i="3" s="1"/>
  <c r="Z93" i="3" s="1"/>
  <c r="N249" i="3"/>
  <c r="O249" i="3" s="1"/>
  <c r="P249" i="3" s="1"/>
  <c r="X249" i="3" s="1"/>
  <c r="Y249" i="3" s="1"/>
  <c r="N224" i="3"/>
  <c r="O224" i="3" s="1"/>
  <c r="P224" i="3" s="1"/>
  <c r="X224" i="3" s="1"/>
  <c r="Y224" i="3" s="1"/>
  <c r="T105" i="3"/>
  <c r="U105" i="3" s="1"/>
  <c r="V105" i="3" s="1"/>
  <c r="AB105" i="3" s="1"/>
  <c r="AC105" i="3" s="1"/>
  <c r="N231" i="3"/>
  <c r="O231" i="3" s="1"/>
  <c r="P231" i="3" s="1"/>
  <c r="X231" i="3" s="1"/>
  <c r="Z231" i="3" s="1"/>
  <c r="T222" i="3"/>
  <c r="U222" i="3" s="1"/>
  <c r="V222" i="3" s="1"/>
  <c r="AB222" i="3" s="1"/>
  <c r="AC222" i="3" s="1"/>
  <c r="N116" i="3"/>
  <c r="O116" i="3" s="1"/>
  <c r="P116" i="3" s="1"/>
  <c r="X116" i="3" s="1"/>
  <c r="AF116" i="3" s="1"/>
  <c r="N236" i="3"/>
  <c r="O236" i="3" s="1"/>
  <c r="P236" i="3" s="1"/>
  <c r="X236" i="3" s="1"/>
  <c r="Y236" i="3" s="1"/>
  <c r="N211" i="3"/>
  <c r="O211" i="3" s="1"/>
  <c r="P211" i="3" s="1"/>
  <c r="X211" i="3" s="1"/>
  <c r="Z211" i="3" s="1"/>
  <c r="T209" i="3"/>
  <c r="U209" i="3" s="1"/>
  <c r="V209" i="3" s="1"/>
  <c r="AB209" i="3" s="1"/>
  <c r="AC209" i="3" s="1"/>
  <c r="T103" i="3"/>
  <c r="U103" i="3" s="1"/>
  <c r="V103" i="3" s="1"/>
  <c r="AB103" i="3" s="1"/>
  <c r="AF103" i="3" s="1"/>
  <c r="AH103" i="3" s="1"/>
  <c r="T112" i="3"/>
  <c r="U112" i="3" s="1"/>
  <c r="V112" i="3" s="1"/>
  <c r="AB112" i="3" s="1"/>
  <c r="AC112" i="3" s="1"/>
  <c r="N212" i="3"/>
  <c r="O212" i="3" s="1"/>
  <c r="P212" i="3" s="1"/>
  <c r="X212" i="3" s="1"/>
  <c r="Z212" i="3" s="1"/>
  <c r="T215" i="3"/>
  <c r="U215" i="3" s="1"/>
  <c r="V215" i="3" s="1"/>
  <c r="AB215" i="3" s="1"/>
  <c r="AD215" i="3" s="1"/>
  <c r="T139" i="3"/>
  <c r="U139" i="3" s="1"/>
  <c r="V139" i="3" s="1"/>
  <c r="AB139" i="3" s="1"/>
  <c r="AC139" i="3" s="1"/>
  <c r="N243" i="3"/>
  <c r="O243" i="3" s="1"/>
  <c r="P243" i="3" s="1"/>
  <c r="X243" i="3" s="1"/>
  <c r="Z243" i="3" s="1"/>
  <c r="N97" i="3"/>
  <c r="O97" i="3" s="1"/>
  <c r="P97" i="3" s="1"/>
  <c r="X97" i="3" s="1"/>
  <c r="T181" i="3"/>
  <c r="U181" i="3" s="1"/>
  <c r="V181" i="3" s="1"/>
  <c r="AB181" i="3" s="1"/>
  <c r="AD181" i="3" s="1"/>
  <c r="T250" i="3"/>
  <c r="U250" i="3" s="1"/>
  <c r="V250" i="3" s="1"/>
  <c r="AB250" i="3" s="1"/>
  <c r="AD250" i="3" s="1"/>
  <c r="T164" i="3"/>
  <c r="U164" i="3" s="1"/>
  <c r="V164" i="3" s="1"/>
  <c r="AB164" i="3" s="1"/>
  <c r="AD164" i="3" s="1"/>
  <c r="N251" i="3"/>
  <c r="O251" i="3" s="1"/>
  <c r="P251" i="3" s="1"/>
  <c r="X251" i="3" s="1"/>
  <c r="Y251" i="3" s="1"/>
  <c r="N153" i="3"/>
  <c r="O153" i="3" s="1"/>
  <c r="P153" i="3" s="1"/>
  <c r="X153" i="3" s="1"/>
  <c r="Y153" i="3" s="1"/>
  <c r="N244" i="3"/>
  <c r="O244" i="3" s="1"/>
  <c r="P244" i="3" s="1"/>
  <c r="X244" i="3" s="1"/>
  <c r="Z244" i="3" s="1"/>
  <c r="N194" i="3"/>
  <c r="O194" i="3" s="1"/>
  <c r="P194" i="3" s="1"/>
  <c r="X194" i="3" s="1"/>
  <c r="Z194" i="3" s="1"/>
  <c r="N124" i="3"/>
  <c r="O124" i="3" s="1"/>
  <c r="P124" i="3" s="1"/>
  <c r="X124" i="3" s="1"/>
  <c r="Z124" i="3" s="1"/>
  <c r="N111" i="3"/>
  <c r="O111" i="3" s="1"/>
  <c r="P111" i="3" s="1"/>
  <c r="X111" i="3" s="1"/>
  <c r="Y111" i="3" s="1"/>
  <c r="T70" i="3"/>
  <c r="U70" i="3" s="1"/>
  <c r="V70" i="3" s="1"/>
  <c r="AB70" i="3" s="1"/>
  <c r="AD70" i="3" s="1"/>
  <c r="N81" i="3"/>
  <c r="O81" i="3" s="1"/>
  <c r="P81" i="3" s="1"/>
  <c r="X81" i="3" s="1"/>
  <c r="Z81" i="3" s="1"/>
  <c r="N140" i="3"/>
  <c r="O140" i="3" s="1"/>
  <c r="P140" i="3" s="1"/>
  <c r="X140" i="3" s="1"/>
  <c r="Z140" i="3" s="1"/>
  <c r="T68" i="3"/>
  <c r="N176" i="3"/>
  <c r="O176" i="3" s="1"/>
  <c r="P176" i="3" s="1"/>
  <c r="X176" i="3" s="1"/>
  <c r="T235" i="3"/>
  <c r="U235" i="3" s="1"/>
  <c r="V235" i="3" s="1"/>
  <c r="AB235" i="3" s="1"/>
  <c r="AC235" i="3" s="1"/>
  <c r="T146" i="3"/>
  <c r="U146" i="3" s="1"/>
  <c r="V146" i="3" s="1"/>
  <c r="AB146" i="3" s="1"/>
  <c r="AD146" i="3" s="1"/>
  <c r="T259" i="3"/>
  <c r="U259" i="3" s="1"/>
  <c r="V259" i="3" s="1"/>
  <c r="AB259" i="3" s="1"/>
  <c r="AC259" i="3" s="1"/>
  <c r="T129" i="3"/>
  <c r="U129" i="3" s="1"/>
  <c r="V129" i="3" s="1"/>
  <c r="AB129" i="3" s="1"/>
  <c r="AD129" i="3" s="1"/>
  <c r="N161" i="3"/>
  <c r="O161" i="3" s="1"/>
  <c r="P161" i="3" s="1"/>
  <c r="X161" i="3" s="1"/>
  <c r="AF161" i="3" s="1"/>
  <c r="T104" i="3"/>
  <c r="U104" i="3" s="1"/>
  <c r="V104" i="3" s="1"/>
  <c r="AB104" i="3" s="1"/>
  <c r="AC104" i="3" s="1"/>
  <c r="N193" i="3"/>
  <c r="O193" i="3" s="1"/>
  <c r="P193" i="3" s="1"/>
  <c r="X193" i="3" s="1"/>
  <c r="Y193" i="3" s="1"/>
  <c r="N159" i="3"/>
  <c r="O159" i="3" s="1"/>
  <c r="P159" i="3" s="1"/>
  <c r="X159" i="3" s="1"/>
  <c r="Y159" i="3" s="1"/>
  <c r="T239" i="3"/>
  <c r="U239" i="3" s="1"/>
  <c r="V239" i="3" s="1"/>
  <c r="AB239" i="3" s="1"/>
  <c r="AC239" i="3" s="1"/>
  <c r="T219" i="3"/>
  <c r="U219" i="3" s="1"/>
  <c r="V219" i="3" s="1"/>
  <c r="AB219" i="3" s="1"/>
  <c r="AC219" i="3" s="1"/>
  <c r="T100" i="3"/>
  <c r="U100" i="3" s="1"/>
  <c r="V100" i="3" s="1"/>
  <c r="AB100" i="3" s="1"/>
  <c r="AD100" i="3" s="1"/>
  <c r="T196" i="3"/>
  <c r="U196" i="3" s="1"/>
  <c r="V196" i="3" s="1"/>
  <c r="AB196" i="3" s="1"/>
  <c r="AC196" i="3" s="1"/>
  <c r="T258" i="3"/>
  <c r="U258" i="3" s="1"/>
  <c r="V258" i="3" s="1"/>
  <c r="AB258" i="3" s="1"/>
  <c r="AD258" i="3" s="1"/>
  <c r="N121" i="3"/>
  <c r="O121" i="3" s="1"/>
  <c r="P121" i="3" s="1"/>
  <c r="X121" i="3" s="1"/>
  <c r="Z121" i="3" s="1"/>
  <c r="T75" i="3"/>
  <c r="U75" i="3" s="1"/>
  <c r="V75" i="3" s="1"/>
  <c r="AB75" i="3" s="1"/>
  <c r="N178" i="3"/>
  <c r="O178" i="3" s="1"/>
  <c r="P178" i="3" s="1"/>
  <c r="X178" i="3" s="1"/>
  <c r="AF178" i="3" s="1"/>
  <c r="N213" i="3"/>
  <c r="O213" i="3" s="1"/>
  <c r="P213" i="3" s="1"/>
  <c r="X213" i="3" s="1"/>
  <c r="Y213" i="3" s="1"/>
  <c r="N252" i="3"/>
  <c r="O252" i="3" s="1"/>
  <c r="P252" i="3" s="1"/>
  <c r="X252" i="3" s="1"/>
  <c r="Y252" i="3" s="1"/>
  <c r="T187" i="3"/>
  <c r="U187" i="3" s="1"/>
  <c r="V187" i="3" s="1"/>
  <c r="AB187" i="3" s="1"/>
  <c r="AC187" i="3" s="1"/>
  <c r="T72" i="3"/>
  <c r="U72" i="3" s="1"/>
  <c r="V72" i="3" s="1"/>
  <c r="AB72" i="3" s="1"/>
  <c r="AD72" i="3" s="1"/>
  <c r="T217" i="3"/>
  <c r="U217" i="3" s="1"/>
  <c r="V217" i="3" s="1"/>
  <c r="AB217" i="3" s="1"/>
  <c r="AD217" i="3" s="1"/>
  <c r="T150" i="3"/>
  <c r="U150" i="3" s="1"/>
  <c r="V150" i="3" s="1"/>
  <c r="AB150" i="3" s="1"/>
  <c r="AC150" i="3" s="1"/>
  <c r="N220" i="3"/>
  <c r="O220" i="3" s="1"/>
  <c r="P220" i="3" s="1"/>
  <c r="X220" i="3" s="1"/>
  <c r="Y220" i="3" s="1"/>
  <c r="N189" i="3"/>
  <c r="O189" i="3" s="1"/>
  <c r="P189" i="3" s="1"/>
  <c r="X189" i="3" s="1"/>
  <c r="Z189" i="3" s="1"/>
  <c r="T264" i="3"/>
  <c r="U264" i="3" s="1"/>
  <c r="V264" i="3" s="1"/>
  <c r="AB264" i="3" s="1"/>
  <c r="AC264" i="3" s="1"/>
  <c r="T198" i="3"/>
  <c r="U198" i="3" s="1"/>
  <c r="V198" i="3" s="1"/>
  <c r="AB198" i="3" s="1"/>
  <c r="AC198" i="3" s="1"/>
  <c r="T228" i="3"/>
  <c r="U228" i="3" s="1"/>
  <c r="V228" i="3" s="1"/>
  <c r="AB228" i="3" s="1"/>
  <c r="AC228" i="3" s="1"/>
  <c r="AW264" i="3"/>
  <c r="AY264" i="3" s="1"/>
  <c r="T262" i="3"/>
  <c r="U262" i="3" s="1"/>
  <c r="V262" i="3" s="1"/>
  <c r="AB262" i="3" s="1"/>
  <c r="AD262" i="3" s="1"/>
  <c r="T87" i="3"/>
  <c r="U87" i="3" s="1"/>
  <c r="V87" i="3" s="1"/>
  <c r="AB87" i="3" s="1"/>
  <c r="AF87" i="3" s="1"/>
  <c r="T101" i="3"/>
  <c r="U101" i="3" s="1"/>
  <c r="V101" i="3" s="1"/>
  <c r="AB101" i="3" s="1"/>
  <c r="AD101" i="3" s="1"/>
  <c r="N221" i="3"/>
  <c r="O221" i="3" s="1"/>
  <c r="P221" i="3" s="1"/>
  <c r="X221" i="3" s="1"/>
  <c r="N131" i="3"/>
  <c r="O131" i="3" s="1"/>
  <c r="P131" i="3" s="1"/>
  <c r="X131" i="3" s="1"/>
  <c r="Y131" i="3" s="1"/>
  <c r="T80" i="3"/>
  <c r="U80" i="3" s="1"/>
  <c r="V80" i="3" s="1"/>
  <c r="AB80" i="3" s="1"/>
  <c r="AC80" i="3" s="1"/>
  <c r="H158" i="3"/>
  <c r="X253" i="3"/>
  <c r="Z253" i="3" s="1"/>
  <c r="X72" i="3"/>
  <c r="Y72" i="3" s="1"/>
  <c r="X158" i="3"/>
  <c r="Z158" i="3" s="1"/>
  <c r="AW139" i="3"/>
  <c r="AX139" i="3" s="1"/>
  <c r="T96" i="3"/>
  <c r="U96" i="3" s="1"/>
  <c r="V96" i="3" s="1"/>
  <c r="AB96" i="3" s="1"/>
  <c r="AD96" i="3" s="1"/>
  <c r="N96" i="3"/>
  <c r="O96" i="3" s="1"/>
  <c r="P96" i="3" s="1"/>
  <c r="X96" i="3" s="1"/>
  <c r="T186" i="3"/>
  <c r="U186" i="3" s="1"/>
  <c r="V186" i="3" s="1"/>
  <c r="AB186" i="3" s="1"/>
  <c r="AD186" i="3" s="1"/>
  <c r="T199" i="3"/>
  <c r="U199" i="3" s="1"/>
  <c r="V199" i="3" s="1"/>
  <c r="AB199" i="3" s="1"/>
  <c r="AC199" i="3" s="1"/>
  <c r="T85" i="3"/>
  <c r="U85" i="3" s="1"/>
  <c r="V85" i="3" s="1"/>
  <c r="AB85" i="3" s="1"/>
  <c r="AD85" i="3" s="1"/>
  <c r="N173" i="3"/>
  <c r="O173" i="3" s="1"/>
  <c r="P173" i="3" s="1"/>
  <c r="X173" i="3" s="1"/>
  <c r="Z173" i="3" s="1"/>
  <c r="T142" i="3"/>
  <c r="U142" i="3" s="1"/>
  <c r="V142" i="3" s="1"/>
  <c r="AB142" i="3" s="1"/>
  <c r="AC142" i="3" s="1"/>
  <c r="N218" i="3"/>
  <c r="O218" i="3" s="1"/>
  <c r="P218" i="3" s="1"/>
  <c r="X218" i="3" s="1"/>
  <c r="Y218" i="3" s="1"/>
  <c r="N170" i="3"/>
  <c r="O170" i="3" s="1"/>
  <c r="P170" i="3" s="1"/>
  <c r="X170" i="3" s="1"/>
  <c r="AF170" i="3" s="1"/>
  <c r="T86" i="3"/>
  <c r="U86" i="3" s="1"/>
  <c r="V86" i="3" s="1"/>
  <c r="AB86" i="3" s="1"/>
  <c r="AC86" i="3" s="1"/>
  <c r="N166" i="3"/>
  <c r="O166" i="3" s="1"/>
  <c r="P166" i="3" s="1"/>
  <c r="X166" i="3" s="1"/>
  <c r="AF166" i="3" s="1"/>
  <c r="T226" i="3"/>
  <c r="U226" i="3" s="1"/>
  <c r="V226" i="3" s="1"/>
  <c r="AB226" i="3" s="1"/>
  <c r="AC226" i="3" s="1"/>
  <c r="T188" i="3"/>
  <c r="U188" i="3" s="1"/>
  <c r="V188" i="3" s="1"/>
  <c r="AB188" i="3" s="1"/>
  <c r="AD188" i="3" s="1"/>
  <c r="N128" i="3"/>
  <c r="O128" i="3" s="1"/>
  <c r="P128" i="3" s="1"/>
  <c r="X128" i="3" s="1"/>
  <c r="AF128" i="3" s="1"/>
  <c r="N205" i="3"/>
  <c r="O205" i="3" s="1"/>
  <c r="P205" i="3" s="1"/>
  <c r="X205" i="3" s="1"/>
  <c r="Y205" i="3" s="1"/>
  <c r="T253" i="3"/>
  <c r="U253" i="3" s="1"/>
  <c r="V253" i="3" s="1"/>
  <c r="AB253" i="3" s="1"/>
  <c r="N107" i="3"/>
  <c r="O107" i="3" s="1"/>
  <c r="P107" i="3" s="1"/>
  <c r="X107" i="3" s="1"/>
  <c r="Z107" i="3" s="1"/>
  <c r="N167" i="3"/>
  <c r="O167" i="3" s="1"/>
  <c r="P167" i="3" s="1"/>
  <c r="X167" i="3" s="1"/>
  <c r="Y167" i="3" s="1"/>
  <c r="T230" i="3"/>
  <c r="U230" i="3" s="1"/>
  <c r="V230" i="3" s="1"/>
  <c r="AB230" i="3" s="1"/>
  <c r="AD230" i="3" s="1"/>
  <c r="T183" i="3"/>
  <c r="U183" i="3" s="1"/>
  <c r="V183" i="3" s="1"/>
  <c r="AB183" i="3" s="1"/>
  <c r="AC183" i="3" s="1"/>
  <c r="N134" i="3"/>
  <c r="O134" i="3" s="1"/>
  <c r="P134" i="3" s="1"/>
  <c r="X134" i="3" s="1"/>
  <c r="Z134" i="3" s="1"/>
  <c r="N234" i="3"/>
  <c r="O234" i="3" s="1"/>
  <c r="P234" i="3" s="1"/>
  <c r="X234" i="3" s="1"/>
  <c r="Y234" i="3" s="1"/>
  <c r="T92" i="3"/>
  <c r="U92" i="3" s="1"/>
  <c r="V92" i="3" s="1"/>
  <c r="AB92" i="3" s="1"/>
  <c r="AC92" i="3" s="1"/>
  <c r="N180" i="3"/>
  <c r="O180" i="3" s="1"/>
  <c r="P180" i="3" s="1"/>
  <c r="X180" i="3" s="1"/>
  <c r="Z180" i="3" s="1"/>
  <c r="N88" i="3"/>
  <c r="O88" i="3" s="1"/>
  <c r="P88" i="3" s="1"/>
  <c r="X88" i="3" s="1"/>
  <c r="Y88" i="3" s="1"/>
  <c r="N210" i="3"/>
  <c r="O210" i="3" s="1"/>
  <c r="P210" i="3" s="1"/>
  <c r="X210" i="3" s="1"/>
  <c r="AF210" i="3" s="1"/>
  <c r="T169" i="3"/>
  <c r="U169" i="3" s="1"/>
  <c r="V169" i="3" s="1"/>
  <c r="AB169" i="3" s="1"/>
  <c r="AC169" i="3" s="1"/>
  <c r="N113" i="3"/>
  <c r="O113" i="3" s="1"/>
  <c r="P113" i="3" s="1"/>
  <c r="X113" i="3" s="1"/>
  <c r="Y113" i="3" s="1"/>
  <c r="N216" i="3"/>
  <c r="O216" i="3" s="1"/>
  <c r="P216" i="3" s="1"/>
  <c r="X216" i="3" s="1"/>
  <c r="Z216" i="3" s="1"/>
  <c r="N123" i="3"/>
  <c r="O123" i="3" s="1"/>
  <c r="P123" i="3" s="1"/>
  <c r="X123" i="3" s="1"/>
  <c r="Y123" i="3" s="1"/>
  <c r="N223" i="3"/>
  <c r="O223" i="3" s="1"/>
  <c r="P223" i="3" s="1"/>
  <c r="X223" i="3" s="1"/>
  <c r="Z223" i="3" s="1"/>
  <c r="N155" i="3"/>
  <c r="O155" i="3" s="1"/>
  <c r="P155" i="3" s="1"/>
  <c r="X155" i="3" s="1"/>
  <c r="Y155" i="3" s="1"/>
  <c r="T114" i="3"/>
  <c r="U114" i="3" s="1"/>
  <c r="V114" i="3" s="1"/>
  <c r="AB114" i="3" s="1"/>
  <c r="AD114" i="3" s="1"/>
  <c r="T145" i="3"/>
  <c r="U145" i="3" s="1"/>
  <c r="V145" i="3" s="1"/>
  <c r="AB145" i="3" s="1"/>
  <c r="AC145" i="3" s="1"/>
  <c r="N190" i="3"/>
  <c r="O190" i="3" s="1"/>
  <c r="P190" i="3" s="1"/>
  <c r="X190" i="3" s="1"/>
  <c r="Y190" i="3" s="1"/>
  <c r="N108" i="3"/>
  <c r="O108" i="3" s="1"/>
  <c r="P108" i="3" s="1"/>
  <c r="X108" i="3" s="1"/>
  <c r="AF108" i="3" s="1"/>
  <c r="N227" i="3"/>
  <c r="O227" i="3" s="1"/>
  <c r="P227" i="3" s="1"/>
  <c r="X227" i="3" s="1"/>
  <c r="AF227" i="3" s="1"/>
  <c r="N84" i="3"/>
  <c r="O84" i="3" s="1"/>
  <c r="P84" i="3" s="1"/>
  <c r="X84" i="3" s="1"/>
  <c r="Y84" i="3" s="1"/>
  <c r="T257" i="3"/>
  <c r="U257" i="3" s="1"/>
  <c r="V257" i="3" s="1"/>
  <c r="AB257" i="3" s="1"/>
  <c r="AC257" i="3" s="1"/>
  <c r="N172" i="3"/>
  <c r="O172" i="3" s="1"/>
  <c r="P172" i="3" s="1"/>
  <c r="X172" i="3" s="1"/>
  <c r="AF172" i="3" s="1"/>
  <c r="AW73" i="3"/>
  <c r="AY73" i="3" s="1"/>
  <c r="AW231" i="3"/>
  <c r="AY231" i="3" s="1"/>
  <c r="AW252" i="3"/>
  <c r="AY252" i="3" s="1"/>
  <c r="AW134" i="3"/>
  <c r="AX134" i="3" s="1"/>
  <c r="G171" i="3"/>
  <c r="H207" i="3"/>
  <c r="G192" i="3"/>
  <c r="AW224" i="3"/>
  <c r="AZ224" i="3" s="1"/>
  <c r="AW241" i="3"/>
  <c r="AX241" i="3" s="1"/>
  <c r="F42" i="1"/>
  <c r="F41" i="1" s="1"/>
  <c r="G41" i="1" s="1"/>
  <c r="AW87" i="3"/>
  <c r="AX87" i="3" s="1"/>
  <c r="AW220" i="3"/>
  <c r="AZ220" i="3" s="1"/>
  <c r="AW77" i="3"/>
  <c r="AY77" i="3" s="1"/>
  <c r="AW168" i="3"/>
  <c r="AY168" i="3" s="1"/>
  <c r="AW118" i="3"/>
  <c r="AX118" i="3" s="1"/>
  <c r="AW191" i="3"/>
  <c r="AW150" i="3"/>
  <c r="AY150" i="3" s="1"/>
  <c r="AW94" i="3"/>
  <c r="AX94" i="3" s="1"/>
  <c r="AW251" i="3"/>
  <c r="AZ251" i="3" s="1"/>
  <c r="AW105" i="3"/>
  <c r="AW117" i="3"/>
  <c r="AY117" i="3" s="1"/>
  <c r="AW239" i="3"/>
  <c r="AX239" i="3" s="1"/>
  <c r="AW98" i="3"/>
  <c r="AZ98" i="3" s="1"/>
  <c r="AW173" i="3"/>
  <c r="AY173" i="3" s="1"/>
  <c r="AW229" i="3"/>
  <c r="AW89" i="3"/>
  <c r="AY89" i="3" s="1"/>
  <c r="AW196" i="3"/>
  <c r="AX196" i="3" s="1"/>
  <c r="AW72" i="3"/>
  <c r="AX72" i="3" s="1"/>
  <c r="AW181" i="3"/>
  <c r="AY181" i="3" s="1"/>
  <c r="AW163" i="3"/>
  <c r="AX163" i="3" s="1"/>
  <c r="AW204" i="3"/>
  <c r="AX204" i="3" s="1"/>
  <c r="AW157" i="3"/>
  <c r="AW76" i="3"/>
  <c r="AY76" i="3" s="1"/>
  <c r="AW175" i="3"/>
  <c r="AX175" i="3" s="1"/>
  <c r="AW209" i="3"/>
  <c r="AY209" i="3" s="1"/>
  <c r="AW261" i="3"/>
  <c r="AX261" i="3" s="1"/>
  <c r="AW142" i="3"/>
  <c r="AY142" i="3" s="1"/>
  <c r="AW93" i="3"/>
  <c r="AX93" i="3" s="1"/>
  <c r="AW66" i="3"/>
  <c r="AW244" i="3"/>
  <c r="AX244" i="3" s="1"/>
  <c r="AW113" i="3"/>
  <c r="AY113" i="3" s="1"/>
  <c r="AW211" i="3"/>
  <c r="AY211" i="3" s="1"/>
  <c r="AW243" i="3"/>
  <c r="AY243" i="3" s="1"/>
  <c r="AW208" i="3"/>
  <c r="AZ208" i="3" s="1"/>
  <c r="BA208" i="3" s="1"/>
  <c r="AW107" i="3"/>
  <c r="AX107" i="3" s="1"/>
  <c r="AW158" i="3"/>
  <c r="AW174" i="3"/>
  <c r="AY174" i="3" s="1"/>
  <c r="AW171" i="3"/>
  <c r="AX171" i="3" s="1"/>
  <c r="AW141" i="3"/>
  <c r="AX141" i="3" s="1"/>
  <c r="AW165" i="3"/>
  <c r="AY165" i="3" s="1"/>
  <c r="AW221" i="3"/>
  <c r="AX221" i="3" s="1"/>
  <c r="AW91" i="3"/>
  <c r="AX91" i="3" s="1"/>
  <c r="AW260" i="3"/>
  <c r="AY260" i="3" s="1"/>
  <c r="G189" i="3"/>
  <c r="G208" i="3"/>
  <c r="X219" i="3"/>
  <c r="Z219" i="3" s="1"/>
  <c r="AW178" i="3"/>
  <c r="AZ178" i="3" s="1"/>
  <c r="AW256" i="3"/>
  <c r="AX256" i="3" s="1"/>
  <c r="AW185" i="3"/>
  <c r="AX185" i="3" s="1"/>
  <c r="AW122" i="3"/>
  <c r="AX122" i="3" s="1"/>
  <c r="AW112" i="3"/>
  <c r="AY112" i="3" s="1"/>
  <c r="AW182" i="3"/>
  <c r="AY182" i="3" s="1"/>
  <c r="AW218" i="3"/>
  <c r="AX218" i="3" s="1"/>
  <c r="AW198" i="3"/>
  <c r="AY198" i="3" s="1"/>
  <c r="AW189" i="3"/>
  <c r="AX189" i="3" s="1"/>
  <c r="AW202" i="3"/>
  <c r="AY202" i="3" s="1"/>
  <c r="AW172" i="3"/>
  <c r="AX172" i="3" s="1"/>
  <c r="AW179" i="3"/>
  <c r="AY179" i="3" s="1"/>
  <c r="AW114" i="3"/>
  <c r="AX114" i="3" s="1"/>
  <c r="G137" i="3"/>
  <c r="H212" i="3"/>
  <c r="H246" i="3"/>
  <c r="X136" i="3"/>
  <c r="AW262" i="3"/>
  <c r="AX262" i="3" s="1"/>
  <c r="AC248" i="3"/>
  <c r="AX128" i="3"/>
  <c r="AW111" i="3"/>
  <c r="AY111" i="3" s="1"/>
  <c r="AW85" i="3"/>
  <c r="AY216" i="3"/>
  <c r="AW236" i="3"/>
  <c r="AY236" i="3" s="1"/>
  <c r="AW248" i="3"/>
  <c r="AX248" i="3" s="1"/>
  <c r="AW78" i="3"/>
  <c r="AX78" i="3" s="1"/>
  <c r="AW144" i="3"/>
  <c r="AY144" i="3" s="1"/>
  <c r="AW230" i="3"/>
  <c r="AY230" i="3" s="1"/>
  <c r="AW146" i="3"/>
  <c r="AY146" i="3" s="1"/>
  <c r="AW247" i="3"/>
  <c r="AX184" i="3"/>
  <c r="AW70" i="3"/>
  <c r="AY70" i="3" s="1"/>
  <c r="AW234" i="3"/>
  <c r="AY234" i="3" s="1"/>
  <c r="AW126" i="3"/>
  <c r="AY126" i="3" s="1"/>
  <c r="AW79" i="3"/>
  <c r="AZ79" i="3" s="1"/>
  <c r="AW183" i="3"/>
  <c r="AY183" i="3" s="1"/>
  <c r="AW127" i="3"/>
  <c r="AX127" i="3" s="1"/>
  <c r="AW253" i="3"/>
  <c r="AX253" i="3" s="1"/>
  <c r="X200" i="3"/>
  <c r="Z200" i="3" s="1"/>
  <c r="AC197" i="3"/>
  <c r="AD197" i="3"/>
  <c r="AC245" i="3"/>
  <c r="X246" i="3"/>
  <c r="Y246" i="3" s="1"/>
  <c r="H259" i="3"/>
  <c r="H219" i="3"/>
  <c r="H217" i="3"/>
  <c r="H222" i="3"/>
  <c r="G64" i="3"/>
  <c r="H201" i="3"/>
  <c r="AC171" i="3"/>
  <c r="G152" i="3"/>
  <c r="X222" i="3"/>
  <c r="X160" i="3"/>
  <c r="X201" i="3"/>
  <c r="Y201" i="3" s="1"/>
  <c r="H214" i="3"/>
  <c r="X217" i="3"/>
  <c r="Y217" i="3" s="1"/>
  <c r="Q72" i="2"/>
  <c r="X206" i="3"/>
  <c r="G82" i="3"/>
  <c r="H138" i="3"/>
  <c r="X214" i="3"/>
  <c r="Z214" i="3" s="1"/>
  <c r="H109" i="3"/>
  <c r="AC95" i="3"/>
  <c r="G163" i="3"/>
  <c r="G154" i="3"/>
  <c r="X129" i="3"/>
  <c r="Y129" i="3" s="1"/>
  <c r="X203" i="3"/>
  <c r="Y203" i="3" s="1"/>
  <c r="X82" i="3"/>
  <c r="Y82" i="3" s="1"/>
  <c r="X152" i="3"/>
  <c r="X259" i="3"/>
  <c r="Y259" i="3" s="1"/>
  <c r="H129" i="3"/>
  <c r="AC184" i="3"/>
  <c r="X186" i="3"/>
  <c r="Y186" i="3" s="1"/>
  <c r="AD98" i="3"/>
  <c r="AD90" i="3"/>
  <c r="AD249" i="3"/>
  <c r="AZ184" i="3"/>
  <c r="BA184" i="3" s="1"/>
  <c r="AD134" i="3"/>
  <c r="AD207" i="3"/>
  <c r="AC207" i="3"/>
  <c r="Y232" i="3"/>
  <c r="AX246" i="3"/>
  <c r="AY246" i="3"/>
  <c r="AY115" i="3"/>
  <c r="AX115" i="3"/>
  <c r="AX152" i="3"/>
  <c r="AY152" i="3"/>
  <c r="AW95" i="3"/>
  <c r="AC254" i="3"/>
  <c r="G249" i="3"/>
  <c r="G161" i="3"/>
  <c r="H161" i="3"/>
  <c r="AW121" i="3"/>
  <c r="AY121" i="3" s="1"/>
  <c r="AD224" i="3"/>
  <c r="AW210" i="3"/>
  <c r="AX210" i="3" s="1"/>
  <c r="H111" i="3"/>
  <c r="X109" i="3"/>
  <c r="Y109" i="3" s="1"/>
  <c r="AW177" i="3"/>
  <c r="AZ177" i="3" s="1"/>
  <c r="AW187" i="3"/>
  <c r="AW102" i="3"/>
  <c r="AY102" i="3" s="1"/>
  <c r="AW212" i="3"/>
  <c r="AX212" i="3" s="1"/>
  <c r="AW233" i="3"/>
  <c r="AY233" i="3" s="1"/>
  <c r="X145" i="3"/>
  <c r="Z145" i="3" s="1"/>
  <c r="AW227" i="3"/>
  <c r="AX227" i="3" s="1"/>
  <c r="H145" i="3"/>
  <c r="AW194" i="3"/>
  <c r="AY194" i="3" s="1"/>
  <c r="G223" i="3"/>
  <c r="AW64" i="3"/>
  <c r="AZ64" i="3" s="1"/>
  <c r="AD88" i="3"/>
  <c r="AC79" i="3"/>
  <c r="AC180" i="3"/>
  <c r="AD208" i="3"/>
  <c r="AC155" i="3"/>
  <c r="AB216" i="3"/>
  <c r="AZ216" i="3"/>
  <c r="AC149" i="3"/>
  <c r="AC231" i="3"/>
  <c r="X156" i="3"/>
  <c r="Z156" i="3" s="1"/>
  <c r="H236" i="3"/>
  <c r="H202" i="3"/>
  <c r="AC173" i="3"/>
  <c r="AC153" i="3"/>
  <c r="H238" i="3"/>
  <c r="AD234" i="3"/>
  <c r="G175" i="3"/>
  <c r="AC93" i="3"/>
  <c r="H211" i="3"/>
  <c r="H186" i="3"/>
  <c r="AC179" i="3"/>
  <c r="Z182" i="3"/>
  <c r="AC243" i="3"/>
  <c r="X171" i="3"/>
  <c r="AF171" i="3" s="1"/>
  <c r="AC263" i="3"/>
  <c r="Y229" i="3"/>
  <c r="X228" i="3"/>
  <c r="Y228" i="3" s="1"/>
  <c r="X144" i="3"/>
  <c r="Y144" i="3" s="1"/>
  <c r="X89" i="3"/>
  <c r="Z89" i="3" s="1"/>
  <c r="X175" i="3"/>
  <c r="AD138" i="3"/>
  <c r="AD221" i="3"/>
  <c r="X86" i="3"/>
  <c r="G231" i="3"/>
  <c r="Z92" i="3"/>
  <c r="G88" i="3"/>
  <c r="AC190" i="3"/>
  <c r="AC172" i="3"/>
  <c r="Y198" i="3"/>
  <c r="X258" i="3"/>
  <c r="AD225" i="3"/>
  <c r="X119" i="3"/>
  <c r="X183" i="3"/>
  <c r="AC131" i="3"/>
  <c r="X239" i="3"/>
  <c r="Z239" i="3" s="1"/>
  <c r="X99" i="3"/>
  <c r="Z99" i="3" s="1"/>
  <c r="X74" i="3"/>
  <c r="X230" i="3"/>
  <c r="Y230" i="3" s="1"/>
  <c r="X148" i="3"/>
  <c r="Z148" i="3" s="1"/>
  <c r="AD127" i="3"/>
  <c r="X208" i="3"/>
  <c r="AC123" i="3"/>
  <c r="AD116" i="3"/>
  <c r="AC116" i="3"/>
  <c r="AX201" i="3"/>
  <c r="AY201" i="3"/>
  <c r="AY162" i="3"/>
  <c r="AZ162" i="3"/>
  <c r="AX162" i="3"/>
  <c r="AX100" i="3"/>
  <c r="AY100" i="3"/>
  <c r="AZ138" i="3"/>
  <c r="AY138" i="3"/>
  <c r="AX138" i="3"/>
  <c r="AZ197" i="3"/>
  <c r="AY197" i="3"/>
  <c r="AX197" i="3"/>
  <c r="AC81" i="3"/>
  <c r="AD81" i="3"/>
  <c r="AY257" i="3"/>
  <c r="AX257" i="3"/>
  <c r="AD73" i="3"/>
  <c r="AC73" i="3"/>
  <c r="AX240" i="3"/>
  <c r="AY240" i="3"/>
  <c r="AX116" i="3"/>
  <c r="AY116" i="3"/>
  <c r="AZ116" i="3"/>
  <c r="AC94" i="3"/>
  <c r="AD94" i="3"/>
  <c r="Z188" i="3"/>
  <c r="Y188" i="3"/>
  <c r="AY190" i="3"/>
  <c r="AZ190" i="3"/>
  <c r="AX190" i="3"/>
  <c r="AD163" i="3"/>
  <c r="AC163" i="3"/>
  <c r="AX145" i="3"/>
  <c r="AY145" i="3"/>
  <c r="AY199" i="3"/>
  <c r="AX199" i="3"/>
  <c r="AC97" i="3"/>
  <c r="AD97" i="3"/>
  <c r="AY125" i="3"/>
  <c r="AX125" i="3"/>
  <c r="AC204" i="3"/>
  <c r="AD204" i="3"/>
  <c r="AX104" i="3"/>
  <c r="AY104" i="3"/>
  <c r="AZ154" i="3"/>
  <c r="AY154" i="3"/>
  <c r="AX154" i="3"/>
  <c r="AY160" i="3"/>
  <c r="AX160" i="3"/>
  <c r="AZ140" i="3"/>
  <c r="AY140" i="3"/>
  <c r="AX140" i="3"/>
  <c r="AX103" i="3"/>
  <c r="AY103" i="3"/>
  <c r="AX81" i="3"/>
  <c r="AZ132" i="3"/>
  <c r="AX132" i="3"/>
  <c r="AY132" i="3"/>
  <c r="AX99" i="3"/>
  <c r="AY99" i="3"/>
  <c r="Z135" i="3"/>
  <c r="Y135" i="3"/>
  <c r="AY255" i="3"/>
  <c r="AX255" i="3"/>
  <c r="AX169" i="3"/>
  <c r="AY169" i="3"/>
  <c r="AD111" i="3"/>
  <c r="AC111" i="3"/>
  <c r="AY217" i="3"/>
  <c r="AX217" i="3"/>
  <c r="AZ124" i="3"/>
  <c r="AX124" i="3"/>
  <c r="AY124" i="3"/>
  <c r="AY166" i="3"/>
  <c r="AX166" i="3"/>
  <c r="AZ166" i="3"/>
  <c r="AY245" i="3"/>
  <c r="AX245" i="3"/>
  <c r="AX161" i="3"/>
  <c r="AY161" i="3"/>
  <c r="AZ161" i="3"/>
  <c r="AX130" i="3"/>
  <c r="AY130" i="3"/>
  <c r="AX155" i="3"/>
  <c r="AY155" i="3"/>
  <c r="AZ155" i="3"/>
  <c r="AY148" i="3"/>
  <c r="AX148" i="3"/>
  <c r="AX186" i="3"/>
  <c r="AY186" i="3"/>
  <c r="AX82" i="3"/>
  <c r="AY82" i="3"/>
  <c r="AC170" i="3"/>
  <c r="AD170" i="3"/>
  <c r="AZ84" i="3"/>
  <c r="AX84" i="3"/>
  <c r="AY84" i="3"/>
  <c r="AZ242" i="3"/>
  <c r="AX242" i="3"/>
  <c r="AY242" i="3"/>
  <c r="AZ88" i="3"/>
  <c r="AX88" i="3"/>
  <c r="AY88" i="3"/>
  <c r="AB115" i="3"/>
  <c r="AZ115" i="3"/>
  <c r="AY195" i="3"/>
  <c r="AX195" i="3"/>
  <c r="AY193" i="3"/>
  <c r="AX193" i="3"/>
  <c r="AZ193" i="3"/>
  <c r="AX223" i="3"/>
  <c r="AY223" i="3"/>
  <c r="AZ223" i="3"/>
  <c r="AD233" i="3"/>
  <c r="AC233" i="3"/>
  <c r="AY108" i="3"/>
  <c r="AZ108" i="3"/>
  <c r="AX108" i="3"/>
  <c r="AC121" i="3"/>
  <c r="AD121" i="3"/>
  <c r="AC194" i="3"/>
  <c r="AD194" i="3"/>
  <c r="AD124" i="3"/>
  <c r="AC124" i="3"/>
  <c r="AC213" i="3"/>
  <c r="AD213" i="3"/>
  <c r="AB64" i="3"/>
  <c r="AY65" i="3"/>
  <c r="AX65" i="3"/>
  <c r="AC140" i="3"/>
  <c r="AD140" i="3"/>
  <c r="AD244" i="3"/>
  <c r="AC244" i="3"/>
  <c r="AY215" i="3"/>
  <c r="AX215" i="3"/>
  <c r="AX250" i="3"/>
  <c r="AY250" i="3"/>
  <c r="AZ213" i="3"/>
  <c r="AY213" i="3"/>
  <c r="AX213" i="3"/>
  <c r="AY222" i="3"/>
  <c r="AX222" i="3"/>
  <c r="AC76" i="3"/>
  <c r="AD76" i="3"/>
  <c r="AZ238" i="3"/>
  <c r="AY238" i="3"/>
  <c r="AX238" i="3"/>
  <c r="AB218" i="3"/>
  <c r="AD167" i="3"/>
  <c r="AC167" i="3"/>
  <c r="AX101" i="3"/>
  <c r="AY101" i="3"/>
  <c r="AX96" i="3"/>
  <c r="AY96" i="3"/>
  <c r="AY200" i="3"/>
  <c r="AX200" i="3"/>
  <c r="AY68" i="3"/>
  <c r="AX68" i="3"/>
  <c r="AX170" i="3"/>
  <c r="AZ170" i="3"/>
  <c r="AY170" i="3"/>
  <c r="AZ90" i="3"/>
  <c r="AX90" i="3"/>
  <c r="AY90" i="3"/>
  <c r="AY123" i="3"/>
  <c r="AX123" i="3"/>
  <c r="AZ123" i="3"/>
  <c r="AZ207" i="3"/>
  <c r="AY207" i="3"/>
  <c r="AX207" i="3"/>
  <c r="AZ249" i="3"/>
  <c r="AY249" i="3"/>
  <c r="AX249" i="3"/>
  <c r="AZ263" i="3"/>
  <c r="AY263" i="3"/>
  <c r="AX263" i="3"/>
  <c r="H65" i="3"/>
  <c r="G65" i="3"/>
  <c r="G102" i="3"/>
  <c r="H102" i="3"/>
  <c r="Y100" i="3"/>
  <c r="Z100" i="3"/>
  <c r="G97" i="3"/>
  <c r="H97" i="3"/>
  <c r="G177" i="3"/>
  <c r="H177" i="3"/>
  <c r="AZ67" i="3"/>
  <c r="AY67" i="3"/>
  <c r="AX67" i="3"/>
  <c r="AX153" i="3"/>
  <c r="AY153" i="3"/>
  <c r="AZ153" i="3"/>
  <c r="Z250" i="3"/>
  <c r="Y250" i="3"/>
  <c r="X102" i="3"/>
  <c r="G176" i="3"/>
  <c r="H176" i="3"/>
  <c r="H72" i="3"/>
  <c r="G72" i="3"/>
  <c r="AW254" i="3"/>
  <c r="AD137" i="3"/>
  <c r="AC137" i="3"/>
  <c r="AD238" i="3"/>
  <c r="AC238" i="3"/>
  <c r="AX159" i="3"/>
  <c r="AY159" i="3"/>
  <c r="AZ159" i="3"/>
  <c r="AY110" i="3"/>
  <c r="AZ110" i="3"/>
  <c r="AX110" i="3"/>
  <c r="X185" i="3"/>
  <c r="AC178" i="3"/>
  <c r="AD178" i="3"/>
  <c r="AW156" i="3"/>
  <c r="AD120" i="3"/>
  <c r="AC120" i="3"/>
  <c r="G157" i="3"/>
  <c r="H157" i="3"/>
  <c r="X157" i="3"/>
  <c r="AX92" i="3"/>
  <c r="AY92" i="3"/>
  <c r="H197" i="3"/>
  <c r="G197" i="3"/>
  <c r="AW226" i="3"/>
  <c r="H112" i="3"/>
  <c r="G112" i="3"/>
  <c r="AC91" i="3"/>
  <c r="AD91" i="3"/>
  <c r="G91" i="3"/>
  <c r="H91" i="3"/>
  <c r="AW206" i="3"/>
  <c r="Z87" i="3"/>
  <c r="Y87" i="3"/>
  <c r="X105" i="3"/>
  <c r="AC202" i="3"/>
  <c r="AD202" i="3"/>
  <c r="AW74" i="3"/>
  <c r="H213" i="3"/>
  <c r="G213" i="3"/>
  <c r="AW69" i="3"/>
  <c r="G96" i="3"/>
  <c r="H96" i="3"/>
  <c r="AD260" i="3"/>
  <c r="AC260" i="3"/>
  <c r="H156" i="3"/>
  <c r="G156" i="3"/>
  <c r="H110" i="3"/>
  <c r="G110" i="3"/>
  <c r="AD147" i="3"/>
  <c r="AC147" i="3"/>
  <c r="AD193" i="3"/>
  <c r="AC193" i="3"/>
  <c r="AD210" i="3"/>
  <c r="AC210" i="3"/>
  <c r="G153" i="3"/>
  <c r="H153" i="3"/>
  <c r="G221" i="3"/>
  <c r="H221" i="3"/>
  <c r="AW147" i="3"/>
  <c r="AW203" i="3"/>
  <c r="AW259" i="3"/>
  <c r="AX219" i="3"/>
  <c r="AY219" i="3"/>
  <c r="Y240" i="3"/>
  <c r="Z240" i="3"/>
  <c r="AC107" i="3"/>
  <c r="AD107" i="3"/>
  <c r="AD126" i="3"/>
  <c r="AC126" i="3"/>
  <c r="AD159" i="3"/>
  <c r="AC159" i="3"/>
  <c r="H140" i="3"/>
  <c r="G140" i="3"/>
  <c r="H160" i="3"/>
  <c r="G160" i="3"/>
  <c r="AY232" i="3"/>
  <c r="AX232" i="3"/>
  <c r="AC261" i="3"/>
  <c r="AD261" i="3"/>
  <c r="AD141" i="3"/>
  <c r="AC141" i="3"/>
  <c r="AW106" i="3"/>
  <c r="AW237" i="3"/>
  <c r="AY228" i="3"/>
  <c r="AX228" i="3"/>
  <c r="AC83" i="3"/>
  <c r="AD83" i="3"/>
  <c r="AX149" i="3"/>
  <c r="AY149" i="3"/>
  <c r="AZ149" i="3"/>
  <c r="AZ205" i="3"/>
  <c r="AY205" i="3"/>
  <c r="AX205" i="3"/>
  <c r="G90" i="3"/>
  <c r="H90" i="3"/>
  <c r="AC192" i="3"/>
  <c r="AD192" i="3"/>
  <c r="AC251" i="3"/>
  <c r="AD251" i="3"/>
  <c r="H257" i="3"/>
  <c r="G257" i="3"/>
  <c r="Z247" i="3"/>
  <c r="Y247" i="3"/>
  <c r="H255" i="3"/>
  <c r="G255" i="3"/>
  <c r="X255" i="3"/>
  <c r="Y130" i="3"/>
  <c r="Z130" i="3"/>
  <c r="G206" i="3"/>
  <c r="H206" i="3"/>
  <c r="AC108" i="3"/>
  <c r="AD108" i="3"/>
  <c r="G105" i="3"/>
  <c r="H105" i="3"/>
  <c r="G139" i="3"/>
  <c r="H139" i="3"/>
  <c r="X139" i="3"/>
  <c r="AC154" i="3"/>
  <c r="AD154" i="3"/>
  <c r="AC211" i="3"/>
  <c r="AD211" i="3"/>
  <c r="AY133" i="3"/>
  <c r="AX133" i="3"/>
  <c r="AC177" i="3"/>
  <c r="AD177" i="3"/>
  <c r="AF95" i="3"/>
  <c r="Z95" i="3"/>
  <c r="Y95" i="3"/>
  <c r="AC84" i="3"/>
  <c r="AD84" i="3"/>
  <c r="AD212" i="3"/>
  <c r="AC212" i="3"/>
  <c r="AD242" i="3"/>
  <c r="AC242" i="3"/>
  <c r="H74" i="3"/>
  <c r="G74" i="3"/>
  <c r="H239" i="3"/>
  <c r="G239" i="3"/>
  <c r="AC205" i="3"/>
  <c r="AD205" i="3"/>
  <c r="AW225" i="3"/>
  <c r="AD252" i="3"/>
  <c r="AC252" i="3"/>
  <c r="H128" i="3"/>
  <c r="G128" i="3"/>
  <c r="AD174" i="3"/>
  <c r="AC174" i="3"/>
  <c r="H195" i="3"/>
  <c r="G195" i="3"/>
  <c r="X195" i="3"/>
  <c r="H260" i="3"/>
  <c r="G260" i="3"/>
  <c r="G242" i="3"/>
  <c r="H242" i="3"/>
  <c r="AW164" i="3"/>
  <c r="G233" i="3"/>
  <c r="H233" i="3"/>
  <c r="G172" i="3"/>
  <c r="H172" i="3"/>
  <c r="AZ128" i="3"/>
  <c r="H68" i="3"/>
  <c r="G68" i="3"/>
  <c r="AD151" i="3"/>
  <c r="AC151" i="3"/>
  <c r="AD132" i="3"/>
  <c r="AC132" i="3"/>
  <c r="Z71" i="3"/>
  <c r="AD143" i="3"/>
  <c r="AC143" i="3"/>
  <c r="G86" i="3"/>
  <c r="H86" i="3"/>
  <c r="G205" i="3"/>
  <c r="H205" i="3"/>
  <c r="AW109" i="3"/>
  <c r="H230" i="3"/>
  <c r="G230" i="3"/>
  <c r="AD227" i="3"/>
  <c r="AC227" i="3"/>
  <c r="H200" i="3"/>
  <c r="G200" i="3"/>
  <c r="G99" i="3"/>
  <c r="H99" i="3"/>
  <c r="AD256" i="3"/>
  <c r="AC256" i="3"/>
  <c r="AC162" i="3"/>
  <c r="AD162" i="3"/>
  <c r="AD128" i="3"/>
  <c r="AC128" i="3"/>
  <c r="AC220" i="3"/>
  <c r="AD220" i="3"/>
  <c r="H185" i="3"/>
  <c r="G185" i="3"/>
  <c r="AX83" i="3"/>
  <c r="AZ83" i="3"/>
  <c r="AY83" i="3"/>
  <c r="AY192" i="3"/>
  <c r="AZ192" i="3"/>
  <c r="AX192" i="3"/>
  <c r="AC203" i="3"/>
  <c r="AD203" i="3"/>
  <c r="AW120" i="3"/>
  <c r="G227" i="3"/>
  <c r="H227" i="3"/>
  <c r="AW258" i="3"/>
  <c r="AC110" i="3"/>
  <c r="AD110" i="3"/>
  <c r="AD237" i="3"/>
  <c r="AC237" i="3"/>
  <c r="AW131" i="3"/>
  <c r="AD113" i="3"/>
  <c r="AC113" i="3"/>
  <c r="H76" i="3"/>
  <c r="G76" i="3"/>
  <c r="AD223" i="3"/>
  <c r="AC223" i="3"/>
  <c r="AD189" i="3"/>
  <c r="AC189" i="3"/>
  <c r="AD236" i="3"/>
  <c r="AC236" i="3"/>
  <c r="AD118" i="3"/>
  <c r="AC118" i="3"/>
  <c r="AD161" i="3"/>
  <c r="AC161" i="3"/>
  <c r="H148" i="3"/>
  <c r="G148" i="3"/>
  <c r="H228" i="3"/>
  <c r="G228" i="3"/>
  <c r="G151" i="3"/>
  <c r="H151" i="3"/>
  <c r="X257" i="3"/>
  <c r="G183" i="3"/>
  <c r="H183" i="3"/>
  <c r="G159" i="3"/>
  <c r="H159" i="3"/>
  <c r="G178" i="3"/>
  <c r="H178" i="3"/>
  <c r="AW143" i="3"/>
  <c r="AC176" i="3"/>
  <c r="AD176" i="3"/>
  <c r="G155" i="3"/>
  <c r="H155" i="3"/>
  <c r="AW75" i="3"/>
  <c r="Z168" i="3"/>
  <c r="Y168" i="3"/>
  <c r="G225" i="3"/>
  <c r="H225" i="3"/>
  <c r="X112" i="3"/>
  <c r="H119" i="3"/>
  <c r="G119" i="3"/>
  <c r="H258" i="3"/>
  <c r="G258" i="3"/>
  <c r="AW151" i="3"/>
  <c r="AW129" i="3"/>
  <c r="AW180" i="3"/>
  <c r="AW235" i="3"/>
  <c r="Y117" i="3"/>
  <c r="AC166" i="3"/>
  <c r="AD166" i="3"/>
  <c r="G89" i="3"/>
  <c r="H89" i="3"/>
  <c r="AW167" i="3"/>
  <c r="H144" i="3"/>
  <c r="G144" i="3"/>
  <c r="G107" i="3"/>
  <c r="H107" i="3"/>
  <c r="Y264" i="3" l="1"/>
  <c r="Y150" i="3"/>
  <c r="Z80" i="3"/>
  <c r="Z169" i="3"/>
  <c r="Z142" i="3"/>
  <c r="Z70" i="3"/>
  <c r="Y226" i="3"/>
  <c r="Z125" i="3"/>
  <c r="Z191" i="3"/>
  <c r="Z181" i="3"/>
  <c r="Y65" i="3"/>
  <c r="AZ66" i="3"/>
  <c r="BD66" i="3" s="1"/>
  <c r="Z235" i="3"/>
  <c r="Z146" i="3"/>
  <c r="Z78" i="3"/>
  <c r="Y133" i="3"/>
  <c r="Y187" i="3"/>
  <c r="AF117" i="3"/>
  <c r="AG117" i="3" s="1"/>
  <c r="Y209" i="3"/>
  <c r="Z69" i="3"/>
  <c r="Y196" i="3"/>
  <c r="AY81" i="3"/>
  <c r="AF71" i="3"/>
  <c r="AG71" i="3" s="1"/>
  <c r="AF78" i="3"/>
  <c r="AH78" i="3" s="1"/>
  <c r="AX135" i="3"/>
  <c r="AX71" i="3"/>
  <c r="AX137" i="3"/>
  <c r="Z114" i="3"/>
  <c r="Z77" i="3"/>
  <c r="Z106" i="3"/>
  <c r="Z101" i="3"/>
  <c r="Y68" i="3"/>
  <c r="Y75" i="3"/>
  <c r="AC66" i="3"/>
  <c r="AD66" i="3"/>
  <c r="AD67" i="3"/>
  <c r="AC67" i="3"/>
  <c r="Z67" i="3"/>
  <c r="Y67" i="3"/>
  <c r="U68" i="3"/>
  <c r="V68" i="3" s="1"/>
  <c r="AB68" i="3" s="1"/>
  <c r="U65" i="3"/>
  <c r="V65" i="3" s="1"/>
  <c r="AB65" i="3" s="1"/>
  <c r="Y66" i="3"/>
  <c r="Z66" i="3"/>
  <c r="Z64" i="3"/>
  <c r="Y64" i="3"/>
  <c r="AY137" i="3"/>
  <c r="AF75" i="3"/>
  <c r="AG75" i="3" s="1"/>
  <c r="Z262" i="3"/>
  <c r="Y164" i="3"/>
  <c r="Y85" i="3"/>
  <c r="AX188" i="3"/>
  <c r="AX119" i="3"/>
  <c r="Y165" i="3"/>
  <c r="Y215" i="3"/>
  <c r="Z103" i="3"/>
  <c r="AZ176" i="3"/>
  <c r="BB176" i="3" s="1"/>
  <c r="AY97" i="3"/>
  <c r="AY176" i="3"/>
  <c r="AZ97" i="3"/>
  <c r="BB97" i="3" s="1"/>
  <c r="AY136" i="3"/>
  <c r="Z199" i="3"/>
  <c r="AY139" i="3"/>
  <c r="Y104" i="3"/>
  <c r="AY86" i="3"/>
  <c r="AX214" i="3"/>
  <c r="Z122" i="3"/>
  <c r="AF261" i="3"/>
  <c r="AG261" i="3" s="1"/>
  <c r="Y263" i="3"/>
  <c r="AZ214" i="3"/>
  <c r="BA214" i="3" s="1"/>
  <c r="AD214" i="3"/>
  <c r="Y261" i="3"/>
  <c r="AF66" i="3"/>
  <c r="AH66" i="3" s="1"/>
  <c r="AC117" i="3"/>
  <c r="Y162" i="3"/>
  <c r="Y241" i="3"/>
  <c r="AF263" i="3"/>
  <c r="AG263" i="3" s="1"/>
  <c r="AC99" i="3"/>
  <c r="AD117" i="3"/>
  <c r="Z162" i="3"/>
  <c r="AZ99" i="3"/>
  <c r="BB99" i="3" s="1"/>
  <c r="AD109" i="3"/>
  <c r="B96" i="1"/>
  <c r="B42" i="1" s="1"/>
  <c r="AC232" i="3"/>
  <c r="Z256" i="3"/>
  <c r="BD162" i="3"/>
  <c r="BF162" i="3" s="1"/>
  <c r="BI162" i="3" s="1"/>
  <c r="AF232" i="3"/>
  <c r="AG232" i="3" s="1"/>
  <c r="Z179" i="3"/>
  <c r="AZ232" i="3"/>
  <c r="BB232" i="3" s="1"/>
  <c r="AF179" i="3"/>
  <c r="AH179" i="3" s="1"/>
  <c r="AF256" i="3"/>
  <c r="AG256" i="3" s="1"/>
  <c r="AF74" i="3"/>
  <c r="AH74" i="3" s="1"/>
  <c r="AD122" i="3"/>
  <c r="AF122" i="3"/>
  <c r="AG122" i="3" s="1"/>
  <c r="Y248" i="3"/>
  <c r="AZ73" i="3"/>
  <c r="BD73" i="3" s="1"/>
  <c r="BF73" i="3" s="1"/>
  <c r="BI73" i="3" s="1"/>
  <c r="AF248" i="3"/>
  <c r="AG248" i="3" s="1"/>
  <c r="Y73" i="3"/>
  <c r="Y141" i="3"/>
  <c r="AF168" i="3"/>
  <c r="AG168" i="3" s="1"/>
  <c r="Z83" i="3"/>
  <c r="AD78" i="3"/>
  <c r="AD102" i="3"/>
  <c r="AD168" i="3"/>
  <c r="AC78" i="3"/>
  <c r="Y237" i="3"/>
  <c r="AC158" i="3"/>
  <c r="AC136" i="3"/>
  <c r="AD247" i="3"/>
  <c r="AD74" i="3"/>
  <c r="Z94" i="3"/>
  <c r="Y79" i="3"/>
  <c r="Z237" i="3"/>
  <c r="AC247" i="3"/>
  <c r="AF136" i="3"/>
  <c r="AH136" i="3" s="1"/>
  <c r="AD182" i="3"/>
  <c r="AF182" i="3"/>
  <c r="AH182" i="3" s="1"/>
  <c r="AZ191" i="3"/>
  <c r="BD191" i="3" s="1"/>
  <c r="BF191" i="3" s="1"/>
  <c r="BI191" i="3" s="1"/>
  <c r="AZ82" i="3"/>
  <c r="BA82" i="3" s="1"/>
  <c r="AC82" i="3"/>
  <c r="BD79" i="3"/>
  <c r="BF79" i="3" s="1"/>
  <c r="BI79" i="3" s="1"/>
  <c r="Z79" i="3"/>
  <c r="AF130" i="3"/>
  <c r="AH130" i="3" s="1"/>
  <c r="AF73" i="3"/>
  <c r="AH73" i="3" s="1"/>
  <c r="AZ247" i="3"/>
  <c r="BD247" i="3" s="1"/>
  <c r="BE247" i="3" s="1"/>
  <c r="BH247" i="3" s="1"/>
  <c r="AZ158" i="3"/>
  <c r="BD158" i="3" s="1"/>
  <c r="BF158" i="3" s="1"/>
  <c r="BI158" i="3" s="1"/>
  <c r="AZ135" i="3"/>
  <c r="BD135" i="3" s="1"/>
  <c r="BE135" i="3" s="1"/>
  <c r="BH135" i="3" s="1"/>
  <c r="Z141" i="3"/>
  <c r="AD135" i="3"/>
  <c r="AF135" i="3"/>
  <c r="AG135" i="3" s="1"/>
  <c r="AZ136" i="3"/>
  <c r="BA136" i="3" s="1"/>
  <c r="AF191" i="3"/>
  <c r="AH191" i="3" s="1"/>
  <c r="AF204" i="3"/>
  <c r="AH204" i="3" s="1"/>
  <c r="AZ148" i="3"/>
  <c r="BD148" i="3" s="1"/>
  <c r="BE148" i="3" s="1"/>
  <c r="BH148" i="3" s="1"/>
  <c r="AD191" i="3"/>
  <c r="AC148" i="3"/>
  <c r="AF174" i="3"/>
  <c r="AH174" i="3" s="1"/>
  <c r="AZ195" i="3"/>
  <c r="BB195" i="3" s="1"/>
  <c r="AF77" i="3"/>
  <c r="AH77" i="3" s="1"/>
  <c r="AD130" i="3"/>
  <c r="Z174" i="3"/>
  <c r="BD67" i="3"/>
  <c r="BE67" i="3" s="1"/>
  <c r="BH67" i="3" s="1"/>
  <c r="AD77" i="3"/>
  <c r="Y126" i="3"/>
  <c r="AC119" i="3"/>
  <c r="AF164" i="3"/>
  <c r="AG164" i="3" s="1"/>
  <c r="AF106" i="3"/>
  <c r="AH106" i="3" s="1"/>
  <c r="AX264" i="3"/>
  <c r="Y132" i="3"/>
  <c r="AF241" i="3"/>
  <c r="AG241" i="3" s="1"/>
  <c r="AD240" i="3"/>
  <c r="AC229" i="3"/>
  <c r="AC71" i="3"/>
  <c r="AC152" i="3"/>
  <c r="Y127" i="3"/>
  <c r="Z184" i="3"/>
  <c r="AB246" i="3"/>
  <c r="AF246" i="3" s="1"/>
  <c r="AH246" i="3" s="1"/>
  <c r="AC160" i="3"/>
  <c r="Z126" i="3"/>
  <c r="Y204" i="3"/>
  <c r="Z120" i="3"/>
  <c r="AZ133" i="3"/>
  <c r="BD133" i="3" s="1"/>
  <c r="AZ119" i="3"/>
  <c r="BA119" i="3" s="1"/>
  <c r="AF120" i="3"/>
  <c r="AH120" i="3" s="1"/>
  <c r="AF132" i="3"/>
  <c r="AH132" i="3" s="1"/>
  <c r="AZ201" i="3"/>
  <c r="BA201" i="3" s="1"/>
  <c r="Y245" i="3"/>
  <c r="AZ152" i="3"/>
  <c r="BB152" i="3" s="1"/>
  <c r="AD71" i="3"/>
  <c r="Z245" i="3"/>
  <c r="AC201" i="3"/>
  <c r="AZ71" i="3"/>
  <c r="BD71" i="3" s="1"/>
  <c r="BF71" i="3" s="1"/>
  <c r="BI71" i="3" s="1"/>
  <c r="AD112" i="3"/>
  <c r="AD104" i="3"/>
  <c r="AF152" i="3"/>
  <c r="AG152" i="3" s="1"/>
  <c r="Z252" i="3"/>
  <c r="AC164" i="3"/>
  <c r="BD245" i="3"/>
  <c r="BF245" i="3" s="1"/>
  <c r="BI245" i="3" s="1"/>
  <c r="BD132" i="3"/>
  <c r="BE132" i="3" s="1"/>
  <c r="BH132" i="3" s="1"/>
  <c r="AZ160" i="3"/>
  <c r="BD160" i="3" s="1"/>
  <c r="AD157" i="3"/>
  <c r="AF160" i="3"/>
  <c r="AG160" i="3" s="1"/>
  <c r="AZ157" i="3"/>
  <c r="BA157" i="3" s="1"/>
  <c r="Z118" i="3"/>
  <c r="AF118" i="3"/>
  <c r="AG118" i="3" s="1"/>
  <c r="Z170" i="3"/>
  <c r="AZ130" i="3"/>
  <c r="BD130" i="3" s="1"/>
  <c r="BF130" i="3" s="1"/>
  <c r="BI130" i="3" s="1"/>
  <c r="Y94" i="3"/>
  <c r="AF67" i="3"/>
  <c r="AH67" i="3" s="1"/>
  <c r="AF133" i="3"/>
  <c r="AG133" i="3" s="1"/>
  <c r="AC195" i="3"/>
  <c r="AF229" i="3"/>
  <c r="AG229" i="3" s="1"/>
  <c r="AF125" i="3"/>
  <c r="AH125" i="3" s="1"/>
  <c r="AD103" i="3"/>
  <c r="AZ125" i="3"/>
  <c r="BD125" i="3" s="1"/>
  <c r="BE125" i="3" s="1"/>
  <c r="BH125" i="3" s="1"/>
  <c r="AZ85" i="3"/>
  <c r="BD85" i="3" s="1"/>
  <c r="BE85" i="3" s="1"/>
  <c r="BH85" i="3" s="1"/>
  <c r="Y108" i="3"/>
  <c r="AC72" i="3"/>
  <c r="BD170" i="3"/>
  <c r="BF170" i="3" s="1"/>
  <c r="BI170" i="3" s="1"/>
  <c r="AZ200" i="3"/>
  <c r="BA200" i="3" s="1"/>
  <c r="AF218" i="3"/>
  <c r="AH218" i="3" s="1"/>
  <c r="AZ103" i="3"/>
  <c r="BA103" i="3" s="1"/>
  <c r="AC250" i="3"/>
  <c r="AF119" i="3"/>
  <c r="AH119" i="3" s="1"/>
  <c r="AC125" i="3"/>
  <c r="AD165" i="3"/>
  <c r="AD200" i="3"/>
  <c r="Y166" i="3"/>
  <c r="AC206" i="3"/>
  <c r="AF81" i="3"/>
  <c r="AH81" i="3" s="1"/>
  <c r="AF206" i="3"/>
  <c r="AH206" i="3" s="1"/>
  <c r="AF127" i="3"/>
  <c r="AH127" i="3" s="1"/>
  <c r="AD144" i="3"/>
  <c r="AF83" i="3"/>
  <c r="AH83" i="3" s="1"/>
  <c r="AF175" i="3"/>
  <c r="AH175" i="3" s="1"/>
  <c r="AF93" i="3"/>
  <c r="AG93" i="3" s="1"/>
  <c r="Z115" i="3"/>
  <c r="AF131" i="3"/>
  <c r="AG131" i="3" s="1"/>
  <c r="AF234" i="3"/>
  <c r="AG234" i="3" s="1"/>
  <c r="AC146" i="3"/>
  <c r="AD89" i="3"/>
  <c r="AD185" i="3"/>
  <c r="AZ255" i="3"/>
  <c r="BA255" i="3" s="1"/>
  <c r="Y194" i="3"/>
  <c r="AF254" i="3"/>
  <c r="AH254" i="3" s="1"/>
  <c r="AC106" i="3"/>
  <c r="AD105" i="3"/>
  <c r="Y184" i="3"/>
  <c r="Y143" i="3"/>
  <c r="AF244" i="3"/>
  <c r="AH244" i="3" s="1"/>
  <c r="Y81" i="3"/>
  <c r="AF194" i="3"/>
  <c r="AG194" i="3" s="1"/>
  <c r="AF69" i="3"/>
  <c r="AG69" i="3" s="1"/>
  <c r="AD156" i="3"/>
  <c r="AD69" i="3"/>
  <c r="AZ264" i="3"/>
  <c r="BD264" i="3" s="1"/>
  <c r="BF264" i="3" s="1"/>
  <c r="BI264" i="3" s="1"/>
  <c r="AF262" i="3"/>
  <c r="AH262" i="3" s="1"/>
  <c r="AC217" i="3"/>
  <c r="Y243" i="3"/>
  <c r="Y254" i="3"/>
  <c r="AC258" i="3"/>
  <c r="AF253" i="3"/>
  <c r="AH253" i="3" s="1"/>
  <c r="AZ217" i="3"/>
  <c r="BD217" i="3" s="1"/>
  <c r="BD81" i="3"/>
  <c r="BE81" i="3" s="1"/>
  <c r="BH81" i="3" s="1"/>
  <c r="AD255" i="3"/>
  <c r="AF243" i="3"/>
  <c r="AH243" i="3" s="1"/>
  <c r="AF235" i="3"/>
  <c r="AG235" i="3" s="1"/>
  <c r="AZ105" i="3"/>
  <c r="BD105" i="3" s="1"/>
  <c r="AF264" i="3"/>
  <c r="AG264" i="3" s="1"/>
  <c r="AC262" i="3"/>
  <c r="Z98" i="3"/>
  <c r="AD235" i="3"/>
  <c r="AF98" i="3"/>
  <c r="AH98" i="3" s="1"/>
  <c r="AC133" i="3"/>
  <c r="AD264" i="3"/>
  <c r="AZ222" i="3"/>
  <c r="BA222" i="3" s="1"/>
  <c r="Y93" i="3"/>
  <c r="AF209" i="3"/>
  <c r="AH209" i="3" s="1"/>
  <c r="AF146" i="3"/>
  <c r="AH146" i="3" s="1"/>
  <c r="AD241" i="3"/>
  <c r="Y121" i="3"/>
  <c r="AD175" i="3"/>
  <c r="AD75" i="3"/>
  <c r="AF124" i="3"/>
  <c r="AH124" i="3" s="1"/>
  <c r="AF115" i="3"/>
  <c r="AG115" i="3" s="1"/>
  <c r="AC181" i="3"/>
  <c r="AC101" i="3"/>
  <c r="AF165" i="3"/>
  <c r="AG165" i="3" s="1"/>
  <c r="AZ229" i="3"/>
  <c r="BB229" i="3" s="1"/>
  <c r="AC215" i="3"/>
  <c r="Y124" i="3"/>
  <c r="AZ104" i="3"/>
  <c r="BB104" i="3" s="1"/>
  <c r="AZ240" i="3"/>
  <c r="BA240" i="3" s="1"/>
  <c r="AZ100" i="3"/>
  <c r="BA100" i="3" s="1"/>
  <c r="AF104" i="3"/>
  <c r="AG104" i="3" s="1"/>
  <c r="AF251" i="3"/>
  <c r="AH251" i="3" s="1"/>
  <c r="AC103" i="3"/>
  <c r="AZ250" i="3"/>
  <c r="BD250" i="3" s="1"/>
  <c r="BF250" i="3" s="1"/>
  <c r="BI250" i="3" s="1"/>
  <c r="Z143" i="3"/>
  <c r="AF224" i="3"/>
  <c r="AG224" i="3" s="1"/>
  <c r="Z147" i="3"/>
  <c r="Y158" i="3"/>
  <c r="AF190" i="3"/>
  <c r="AG190" i="3" s="1"/>
  <c r="AC129" i="3"/>
  <c r="AC70" i="3"/>
  <c r="Y253" i="3"/>
  <c r="BD190" i="3"/>
  <c r="BE190" i="3" s="1"/>
  <c r="BH190" i="3" s="1"/>
  <c r="AF92" i="3"/>
  <c r="AG92" i="3" s="1"/>
  <c r="AD139" i="3"/>
  <c r="Y147" i="3"/>
  <c r="Y149" i="3"/>
  <c r="AF196" i="3"/>
  <c r="AG196" i="3" s="1"/>
  <c r="Y244" i="3"/>
  <c r="AD226" i="3"/>
  <c r="Z224" i="3"/>
  <c r="AD259" i="3"/>
  <c r="AD187" i="3"/>
  <c r="AF220" i="3"/>
  <c r="AG220" i="3" s="1"/>
  <c r="AC230" i="3"/>
  <c r="AF70" i="3"/>
  <c r="AG70" i="3" s="1"/>
  <c r="AF240" i="3"/>
  <c r="AH240" i="3" s="1"/>
  <c r="AD142" i="3"/>
  <c r="AF250" i="3"/>
  <c r="AH250" i="3" s="1"/>
  <c r="AF205" i="3"/>
  <c r="AH205" i="3" s="1"/>
  <c r="AZ139" i="3"/>
  <c r="BB139" i="3" s="1"/>
  <c r="AF149" i="3"/>
  <c r="AH149" i="3" s="1"/>
  <c r="AD196" i="3"/>
  <c r="AF222" i="3"/>
  <c r="AH222" i="3" s="1"/>
  <c r="AD222" i="3"/>
  <c r="AF72" i="3"/>
  <c r="AG72" i="3" s="1"/>
  <c r="AF158" i="3"/>
  <c r="AH158" i="3" s="1"/>
  <c r="AD257" i="3"/>
  <c r="AZ92" i="3"/>
  <c r="BB92" i="3" s="1"/>
  <c r="AF142" i="3"/>
  <c r="AG142" i="3" s="1"/>
  <c r="Z166" i="3"/>
  <c r="AZ257" i="3"/>
  <c r="BB257" i="3" s="1"/>
  <c r="AF100" i="3"/>
  <c r="AG100" i="3" s="1"/>
  <c r="AZ86" i="3"/>
  <c r="BD86" i="3" s="1"/>
  <c r="Z205" i="3"/>
  <c r="BD124" i="3"/>
  <c r="BF124" i="3" s="1"/>
  <c r="BI124" i="3" s="1"/>
  <c r="AZ169" i="3"/>
  <c r="BD169" i="3" s="1"/>
  <c r="BE169" i="3" s="1"/>
  <c r="BH169" i="3" s="1"/>
  <c r="AC100" i="3"/>
  <c r="AC87" i="3"/>
  <c r="AF215" i="3"/>
  <c r="AH215" i="3" s="1"/>
  <c r="Z251" i="3"/>
  <c r="AD228" i="3"/>
  <c r="Z220" i="3"/>
  <c r="Z190" i="3"/>
  <c r="AZ228" i="3"/>
  <c r="BB228" i="3" s="1"/>
  <c r="AZ215" i="3"/>
  <c r="BA215" i="3" s="1"/>
  <c r="AF187" i="3"/>
  <c r="AG187" i="3" s="1"/>
  <c r="AZ186" i="3"/>
  <c r="BD186" i="3" s="1"/>
  <c r="AD92" i="3"/>
  <c r="AD209" i="3"/>
  <c r="AC186" i="3"/>
  <c r="AD169" i="3"/>
  <c r="AZ187" i="3"/>
  <c r="BA187" i="3" s="1"/>
  <c r="AF150" i="3"/>
  <c r="AH150" i="3" s="1"/>
  <c r="AF80" i="3"/>
  <c r="AH80" i="3" s="1"/>
  <c r="AD219" i="3"/>
  <c r="AF169" i="3"/>
  <c r="AG169" i="3" s="1"/>
  <c r="AF193" i="3"/>
  <c r="AH193" i="3" s="1"/>
  <c r="AZ101" i="3"/>
  <c r="BA101" i="3" s="1"/>
  <c r="AC75" i="3"/>
  <c r="AF123" i="3"/>
  <c r="AG123" i="3" s="1"/>
  <c r="AF101" i="3"/>
  <c r="AG101" i="3" s="1"/>
  <c r="Z193" i="3"/>
  <c r="AF181" i="3"/>
  <c r="AH181" i="3" s="1"/>
  <c r="AD150" i="3"/>
  <c r="AF121" i="3"/>
  <c r="AH121" i="3" s="1"/>
  <c r="Z116" i="3"/>
  <c r="AF252" i="3"/>
  <c r="AG252" i="3" s="1"/>
  <c r="AZ80" i="3"/>
  <c r="BB80" i="3" s="1"/>
  <c r="AF84" i="3"/>
  <c r="AG84" i="3" s="1"/>
  <c r="AZ188" i="3"/>
  <c r="BD188" i="3" s="1"/>
  <c r="BF188" i="3" s="1"/>
  <c r="BI188" i="3" s="1"/>
  <c r="AC188" i="3"/>
  <c r="Z210" i="3"/>
  <c r="AZ219" i="3"/>
  <c r="BB219" i="3" s="1"/>
  <c r="AF173" i="3"/>
  <c r="AH173" i="3" s="1"/>
  <c r="AD239" i="3"/>
  <c r="AD145" i="3"/>
  <c r="Y116" i="3"/>
  <c r="AD86" i="3"/>
  <c r="AX73" i="3"/>
  <c r="AF167" i="3"/>
  <c r="AG167" i="3" s="1"/>
  <c r="AZ145" i="3"/>
  <c r="BB145" i="3" s="1"/>
  <c r="BD116" i="3"/>
  <c r="BF116" i="3" s="1"/>
  <c r="BI116" i="3" s="1"/>
  <c r="AD87" i="3"/>
  <c r="AD198" i="3"/>
  <c r="Z131" i="3"/>
  <c r="AD80" i="3"/>
  <c r="Z84" i="3"/>
  <c r="Y173" i="3"/>
  <c r="AZ96" i="3"/>
  <c r="BB96" i="3" s="1"/>
  <c r="Z234" i="3"/>
  <c r="AF258" i="3"/>
  <c r="AH258" i="3" s="1"/>
  <c r="AF198" i="3"/>
  <c r="AH198" i="3" s="1"/>
  <c r="AF114" i="3"/>
  <c r="AG114" i="3" s="1"/>
  <c r="AF134" i="3"/>
  <c r="AG134" i="3" s="1"/>
  <c r="AC114" i="3"/>
  <c r="AF188" i="3"/>
  <c r="AG188" i="3" s="1"/>
  <c r="Z108" i="3"/>
  <c r="Z218" i="3"/>
  <c r="Y134" i="3"/>
  <c r="Y170" i="3"/>
  <c r="Z72" i="3"/>
  <c r="AC85" i="3"/>
  <c r="AC96" i="3"/>
  <c r="AF85" i="3"/>
  <c r="AH85" i="3" s="1"/>
  <c r="AF199" i="3"/>
  <c r="AH199" i="3" s="1"/>
  <c r="AD253" i="3"/>
  <c r="AD183" i="3"/>
  <c r="AD199" i="3"/>
  <c r="Z113" i="3"/>
  <c r="Y180" i="3"/>
  <c r="AX252" i="3"/>
  <c r="AC253" i="3"/>
  <c r="Y210" i="3"/>
  <c r="BD108" i="3"/>
  <c r="BE108" i="3" s="1"/>
  <c r="BH108" i="3" s="1"/>
  <c r="Z167" i="3"/>
  <c r="AF226" i="3"/>
  <c r="AG226" i="3" s="1"/>
  <c r="AF183" i="3"/>
  <c r="AG183" i="3" s="1"/>
  <c r="AF86" i="3"/>
  <c r="AG86" i="3" s="1"/>
  <c r="AF180" i="3"/>
  <c r="AH180" i="3" s="1"/>
  <c r="Z123" i="3"/>
  <c r="BD84" i="3"/>
  <c r="BE84" i="3" s="1"/>
  <c r="BH84" i="3" s="1"/>
  <c r="AZ199" i="3"/>
  <c r="BD199" i="3" s="1"/>
  <c r="BF199" i="3" s="1"/>
  <c r="BI199" i="3" s="1"/>
  <c r="AF113" i="3"/>
  <c r="AH113" i="3" s="1"/>
  <c r="AY241" i="3"/>
  <c r="AX231" i="3"/>
  <c r="AZ231" i="3"/>
  <c r="BB231" i="3" s="1"/>
  <c r="AY134" i="3"/>
  <c r="AZ134" i="3"/>
  <c r="BD134" i="3" s="1"/>
  <c r="BE134" i="3" s="1"/>
  <c r="BH134" i="3" s="1"/>
  <c r="AZ252" i="3"/>
  <c r="BD252" i="3" s="1"/>
  <c r="BE252" i="3" s="1"/>
  <c r="BH252" i="3" s="1"/>
  <c r="AX224" i="3"/>
  <c r="AY224" i="3"/>
  <c r="Z207" i="3"/>
  <c r="AZ241" i="3"/>
  <c r="BD241" i="3" s="1"/>
  <c r="BE241" i="3" s="1"/>
  <c r="BH241" i="3" s="1"/>
  <c r="AZ87" i="3"/>
  <c r="BB87" i="3" s="1"/>
  <c r="AF207" i="3"/>
  <c r="AH207" i="3" s="1"/>
  <c r="AY251" i="3"/>
  <c r="AY87" i="3"/>
  <c r="AZ118" i="3"/>
  <c r="BD118" i="3" s="1"/>
  <c r="BF118" i="3" s="1"/>
  <c r="BI118" i="3" s="1"/>
  <c r="AZ77" i="3"/>
  <c r="BA77" i="3" s="1"/>
  <c r="AX220" i="3"/>
  <c r="AX77" i="3"/>
  <c r="AY220" i="3"/>
  <c r="AX191" i="3"/>
  <c r="AY191" i="3"/>
  <c r="AZ168" i="3"/>
  <c r="BD168" i="3" s="1"/>
  <c r="BE168" i="3" s="1"/>
  <c r="BH168" i="3" s="1"/>
  <c r="AX168" i="3"/>
  <c r="AY94" i="3"/>
  <c r="AZ150" i="3"/>
  <c r="BD150" i="3" s="1"/>
  <c r="BF150" i="3" s="1"/>
  <c r="BI150" i="3" s="1"/>
  <c r="AX251" i="3"/>
  <c r="AY118" i="3"/>
  <c r="AY229" i="3"/>
  <c r="AX150" i="3"/>
  <c r="AZ181" i="3"/>
  <c r="BA181" i="3" s="1"/>
  <c r="AZ76" i="3"/>
  <c r="BA76" i="3" s="1"/>
  <c r="AZ94" i="3"/>
  <c r="BA94" i="3" s="1"/>
  <c r="AX105" i="3"/>
  <c r="AX89" i="3"/>
  <c r="AY239" i="3"/>
  <c r="AX117" i="3"/>
  <c r="AX98" i="3"/>
  <c r="AY196" i="3"/>
  <c r="AZ117" i="3"/>
  <c r="BD117" i="3" s="1"/>
  <c r="BF117" i="3" s="1"/>
  <c r="BI117" i="3" s="1"/>
  <c r="AY98" i="3"/>
  <c r="AZ209" i="3"/>
  <c r="BD209" i="3" s="1"/>
  <c r="BF209" i="3" s="1"/>
  <c r="BI209" i="3" s="1"/>
  <c r="AY204" i="3"/>
  <c r="AZ174" i="3"/>
  <c r="BD174" i="3" s="1"/>
  <c r="AX209" i="3"/>
  <c r="AZ196" i="3"/>
  <c r="BD196" i="3" s="1"/>
  <c r="BE196" i="3" s="1"/>
  <c r="BH196" i="3" s="1"/>
  <c r="AY105" i="3"/>
  <c r="AZ204" i="3"/>
  <c r="BA204" i="3" s="1"/>
  <c r="AZ173" i="3"/>
  <c r="BD173" i="3" s="1"/>
  <c r="BF173" i="3" s="1"/>
  <c r="BI173" i="3" s="1"/>
  <c r="AF129" i="3"/>
  <c r="AH129" i="3" s="1"/>
  <c r="AZ239" i="3"/>
  <c r="BB239" i="3" s="1"/>
  <c r="AX229" i="3"/>
  <c r="AX113" i="3"/>
  <c r="AZ142" i="3"/>
  <c r="BD142" i="3" s="1"/>
  <c r="BE142" i="3" s="1"/>
  <c r="BH142" i="3" s="1"/>
  <c r="AX181" i="3"/>
  <c r="AZ244" i="3"/>
  <c r="BA244" i="3" s="1"/>
  <c r="AX76" i="3"/>
  <c r="AZ113" i="3"/>
  <c r="BB113" i="3" s="1"/>
  <c r="AX142" i="3"/>
  <c r="AZ89" i="3"/>
  <c r="BB89" i="3" s="1"/>
  <c r="AZ175" i="3"/>
  <c r="BD175" i="3" s="1"/>
  <c r="BF175" i="3" s="1"/>
  <c r="BI175" i="3" s="1"/>
  <c r="AZ72" i="3"/>
  <c r="BB72" i="3" s="1"/>
  <c r="AX173" i="3"/>
  <c r="AZ163" i="3"/>
  <c r="BD163" i="3" s="1"/>
  <c r="BE163" i="3" s="1"/>
  <c r="BH163" i="3" s="1"/>
  <c r="AY163" i="3"/>
  <c r="AY157" i="3"/>
  <c r="AY72" i="3"/>
  <c r="AY175" i="3"/>
  <c r="AY261" i="3"/>
  <c r="AX157" i="3"/>
  <c r="AZ261" i="3"/>
  <c r="BD261" i="3" s="1"/>
  <c r="BF261" i="3" s="1"/>
  <c r="BI261" i="3" s="1"/>
  <c r="AX211" i="3"/>
  <c r="AY244" i="3"/>
  <c r="AZ243" i="3"/>
  <c r="BB243" i="3" s="1"/>
  <c r="AY66" i="3"/>
  <c r="AY107" i="3"/>
  <c r="AZ221" i="3"/>
  <c r="BA221" i="3" s="1"/>
  <c r="AX174" i="3"/>
  <c r="AZ185" i="3"/>
  <c r="BA185" i="3" s="1"/>
  <c r="AY185" i="3"/>
  <c r="AX66" i="3"/>
  <c r="AZ93" i="3"/>
  <c r="BB93" i="3" s="1"/>
  <c r="AY221" i="3"/>
  <c r="AX243" i="3"/>
  <c r="AZ211" i="3"/>
  <c r="BA211" i="3" s="1"/>
  <c r="AY93" i="3"/>
  <c r="AX178" i="3"/>
  <c r="AX260" i="3"/>
  <c r="AY122" i="3"/>
  <c r="AY208" i="3"/>
  <c r="AY158" i="3"/>
  <c r="AX208" i="3"/>
  <c r="AX112" i="3"/>
  <c r="AZ112" i="3"/>
  <c r="BB112" i="3" s="1"/>
  <c r="AZ141" i="3"/>
  <c r="BD141" i="3" s="1"/>
  <c r="BF141" i="3" s="1"/>
  <c r="BI141" i="3" s="1"/>
  <c r="AZ107" i="3"/>
  <c r="BA107" i="3" s="1"/>
  <c r="AY141" i="3"/>
  <c r="AY178" i="3"/>
  <c r="AZ260" i="3"/>
  <c r="BB260" i="3" s="1"/>
  <c r="AX158" i="3"/>
  <c r="AZ256" i="3"/>
  <c r="BB256" i="3" s="1"/>
  <c r="AY171" i="3"/>
  <c r="AZ91" i="3"/>
  <c r="BD91" i="3" s="1"/>
  <c r="BE91" i="3" s="1"/>
  <c r="BH91" i="3" s="1"/>
  <c r="AX165" i="3"/>
  <c r="AZ171" i="3"/>
  <c r="BD171" i="3" s="1"/>
  <c r="BE171" i="3" s="1"/>
  <c r="BH171" i="3" s="1"/>
  <c r="AY91" i="3"/>
  <c r="AZ165" i="3"/>
  <c r="BD165" i="3" s="1"/>
  <c r="BE165" i="3" s="1"/>
  <c r="BH165" i="3" s="1"/>
  <c r="AF219" i="3"/>
  <c r="AG219" i="3" s="1"/>
  <c r="Y219" i="3"/>
  <c r="Y189" i="3"/>
  <c r="Z136" i="3"/>
  <c r="AX182" i="3"/>
  <c r="AY256" i="3"/>
  <c r="AX247" i="3"/>
  <c r="AZ182" i="3"/>
  <c r="BA182" i="3" s="1"/>
  <c r="AY172" i="3"/>
  <c r="AZ218" i="3"/>
  <c r="BB218" i="3" s="1"/>
  <c r="AZ122" i="3"/>
  <c r="BD122" i="3" s="1"/>
  <c r="AY218" i="3"/>
  <c r="AZ189" i="3"/>
  <c r="BB189" i="3" s="1"/>
  <c r="AY114" i="3"/>
  <c r="AZ198" i="3"/>
  <c r="BD198" i="3" s="1"/>
  <c r="AX202" i="3"/>
  <c r="AZ114" i="3"/>
  <c r="BA114" i="3" s="1"/>
  <c r="AX198" i="3"/>
  <c r="AY262" i="3"/>
  <c r="AX179" i="3"/>
  <c r="AZ172" i="3"/>
  <c r="BB172" i="3" s="1"/>
  <c r="AY189" i="3"/>
  <c r="AZ179" i="3"/>
  <c r="BD179" i="3" s="1"/>
  <c r="AZ227" i="3"/>
  <c r="BB227" i="3" s="1"/>
  <c r="AZ202" i="3"/>
  <c r="BA202" i="3" s="1"/>
  <c r="Z178" i="3"/>
  <c r="AF189" i="3"/>
  <c r="AG189" i="3" s="1"/>
  <c r="AZ262" i="3"/>
  <c r="BD262" i="3" s="1"/>
  <c r="AY247" i="3"/>
  <c r="AZ236" i="3"/>
  <c r="BB236" i="3" s="1"/>
  <c r="AZ126" i="3"/>
  <c r="BD126" i="3" s="1"/>
  <c r="BF126" i="3" s="1"/>
  <c r="BI126" i="3" s="1"/>
  <c r="Y136" i="3"/>
  <c r="Y178" i="3"/>
  <c r="BD178" i="3"/>
  <c r="BF178" i="3" s="1"/>
  <c r="BI178" i="3" s="1"/>
  <c r="AY210" i="3"/>
  <c r="AZ102" i="3"/>
  <c r="BD102" i="3" s="1"/>
  <c r="AX85" i="3"/>
  <c r="AZ111" i="3"/>
  <c r="BD111" i="3" s="1"/>
  <c r="BF111" i="3" s="1"/>
  <c r="BI111" i="3" s="1"/>
  <c r="AZ144" i="3"/>
  <c r="BB144" i="3" s="1"/>
  <c r="AY248" i="3"/>
  <c r="AX236" i="3"/>
  <c r="AX111" i="3"/>
  <c r="AX126" i="3"/>
  <c r="AY85" i="3"/>
  <c r="AZ248" i="3"/>
  <c r="BD248" i="3" s="1"/>
  <c r="BE248" i="3" s="1"/>
  <c r="BH248" i="3" s="1"/>
  <c r="AY127" i="3"/>
  <c r="AX146" i="3"/>
  <c r="AY78" i="3"/>
  <c r="AX144" i="3"/>
  <c r="AZ230" i="3"/>
  <c r="BB230" i="3" s="1"/>
  <c r="AX194" i="3"/>
  <c r="AZ194" i="3"/>
  <c r="BD194" i="3" s="1"/>
  <c r="BF194" i="3" s="1"/>
  <c r="BI194" i="3" s="1"/>
  <c r="AF145" i="3"/>
  <c r="AH145" i="3" s="1"/>
  <c r="AX230" i="3"/>
  <c r="AZ78" i="3"/>
  <c r="BB78" i="3" s="1"/>
  <c r="AX121" i="3"/>
  <c r="AX234" i="3"/>
  <c r="AZ127" i="3"/>
  <c r="BD127" i="3" s="1"/>
  <c r="BE127" i="3" s="1"/>
  <c r="BH127" i="3" s="1"/>
  <c r="AZ146" i="3"/>
  <c r="BD146" i="3" s="1"/>
  <c r="BF146" i="3" s="1"/>
  <c r="BI146" i="3" s="1"/>
  <c r="AZ121" i="3"/>
  <c r="BD121" i="3" s="1"/>
  <c r="BE121" i="3" s="1"/>
  <c r="BH121" i="3" s="1"/>
  <c r="AZ234" i="3"/>
  <c r="BB234" i="3" s="1"/>
  <c r="AF200" i="3"/>
  <c r="AG200" i="3" s="1"/>
  <c r="AY212" i="3"/>
  <c r="AZ183" i="3"/>
  <c r="BA183" i="3" s="1"/>
  <c r="AZ212" i="3"/>
  <c r="BA212" i="3" s="1"/>
  <c r="AX177" i="3"/>
  <c r="AX70" i="3"/>
  <c r="AX233" i="3"/>
  <c r="Y200" i="3"/>
  <c r="AX183" i="3"/>
  <c r="AY177" i="3"/>
  <c r="AZ70" i="3"/>
  <c r="BD70" i="3" s="1"/>
  <c r="BE70" i="3" s="1"/>
  <c r="BH70" i="3" s="1"/>
  <c r="AY253" i="3"/>
  <c r="AY79" i="3"/>
  <c r="AY227" i="3"/>
  <c r="AZ253" i="3"/>
  <c r="BD253" i="3" s="1"/>
  <c r="BE253" i="3" s="1"/>
  <c r="BH253" i="3" s="1"/>
  <c r="AX79" i="3"/>
  <c r="AX102" i="3"/>
  <c r="Z161" i="3"/>
  <c r="Z186" i="3"/>
  <c r="AF201" i="3"/>
  <c r="AG201" i="3" s="1"/>
  <c r="AG103" i="3"/>
  <c r="Z201" i="3"/>
  <c r="Z202" i="3"/>
  <c r="AF228" i="3"/>
  <c r="AH228" i="3" s="1"/>
  <c r="BD64" i="3"/>
  <c r="BE64" i="3" s="1"/>
  <c r="BH64" i="3" s="1"/>
  <c r="BD223" i="3"/>
  <c r="BF223" i="3" s="1"/>
  <c r="BI223" i="3" s="1"/>
  <c r="Y154" i="3"/>
  <c r="Z233" i="3"/>
  <c r="AF154" i="3"/>
  <c r="AH154" i="3" s="1"/>
  <c r="Z222" i="3"/>
  <c r="Z160" i="3"/>
  <c r="Y216" i="3"/>
  <c r="Z217" i="3"/>
  <c r="Z246" i="3"/>
  <c r="Z236" i="3"/>
  <c r="BD246" i="3"/>
  <c r="BF246" i="3" s="1"/>
  <c r="BI246" i="3" s="1"/>
  <c r="AF236" i="3"/>
  <c r="AH236" i="3" s="1"/>
  <c r="AF91" i="3"/>
  <c r="AH91" i="3" s="1"/>
  <c r="AF217" i="3"/>
  <c r="AG217" i="3" s="1"/>
  <c r="AF107" i="3"/>
  <c r="AH107" i="3" s="1"/>
  <c r="Y160" i="3"/>
  <c r="BD216" i="3"/>
  <c r="BE216" i="3" s="1"/>
  <c r="BH216" i="3" s="1"/>
  <c r="Y107" i="3"/>
  <c r="Y161" i="3"/>
  <c r="Y233" i="3"/>
  <c r="AF186" i="3"/>
  <c r="AH186" i="3" s="1"/>
  <c r="Y222" i="3"/>
  <c r="Z129" i="3"/>
  <c r="Y223" i="3"/>
  <c r="Z152" i="3"/>
  <c r="Y152" i="3"/>
  <c r="Y91" i="3"/>
  <c r="Y206" i="3"/>
  <c r="AF82" i="3"/>
  <c r="AG82" i="3" s="1"/>
  <c r="Z82" i="3"/>
  <c r="Z259" i="3"/>
  <c r="Z203" i="3"/>
  <c r="AF259" i="3"/>
  <c r="AG259" i="3" s="1"/>
  <c r="AF203" i="3"/>
  <c r="AH203" i="3" s="1"/>
  <c r="AF214" i="3"/>
  <c r="AH214" i="3" s="1"/>
  <c r="AF223" i="3"/>
  <c r="AH223" i="3" s="1"/>
  <c r="Z249" i="3"/>
  <c r="AF249" i="3"/>
  <c r="AG249" i="3" s="1"/>
  <c r="Y214" i="3"/>
  <c r="Z128" i="3"/>
  <c r="Z206" i="3"/>
  <c r="BA216" i="3"/>
  <c r="BB184" i="3"/>
  <c r="BD128" i="3"/>
  <c r="BF128" i="3" s="1"/>
  <c r="BI128" i="3" s="1"/>
  <c r="Z110" i="3"/>
  <c r="Z109" i="3"/>
  <c r="Z227" i="3"/>
  <c r="BD184" i="3"/>
  <c r="BE184" i="3" s="1"/>
  <c r="BH184" i="3" s="1"/>
  <c r="AF163" i="3"/>
  <c r="AH163" i="3" s="1"/>
  <c r="Z111" i="3"/>
  <c r="Z163" i="3"/>
  <c r="Z155" i="3"/>
  <c r="AF155" i="3"/>
  <c r="AG155" i="3" s="1"/>
  <c r="AF111" i="3"/>
  <c r="AH111" i="3" s="1"/>
  <c r="BB208" i="3"/>
  <c r="Y145" i="3"/>
  <c r="AF238" i="3"/>
  <c r="AH238" i="3" s="1"/>
  <c r="Y238" i="3"/>
  <c r="Y171" i="3"/>
  <c r="AF212" i="3"/>
  <c r="AG212" i="3" s="1"/>
  <c r="Y258" i="3"/>
  <c r="AZ210" i="3"/>
  <c r="BA210" i="3" s="1"/>
  <c r="Y128" i="3"/>
  <c r="AF109" i="3"/>
  <c r="AH109" i="3" s="1"/>
  <c r="AZ233" i="3"/>
  <c r="BD233" i="3" s="1"/>
  <c r="BF233" i="3" s="1"/>
  <c r="BI233" i="3" s="1"/>
  <c r="Y175" i="3"/>
  <c r="AF110" i="3"/>
  <c r="AH110" i="3" s="1"/>
  <c r="BD110" i="3"/>
  <c r="BF110" i="3" s="1"/>
  <c r="BI110" i="3" s="1"/>
  <c r="Z76" i="3"/>
  <c r="AF156" i="3"/>
  <c r="AG156" i="3" s="1"/>
  <c r="Y231" i="3"/>
  <c r="AY64" i="3"/>
  <c r="AX64" i="3"/>
  <c r="AX187" i="3"/>
  <c r="AY187" i="3"/>
  <c r="AX95" i="3"/>
  <c r="AZ95" i="3"/>
  <c r="AY95" i="3"/>
  <c r="BB216" i="3"/>
  <c r="AF137" i="3"/>
  <c r="AH137" i="3" s="1"/>
  <c r="AF76" i="3"/>
  <c r="AH76" i="3" s="1"/>
  <c r="Y212" i="3"/>
  <c r="Z144" i="3"/>
  <c r="Z159" i="3"/>
  <c r="Z177" i="3"/>
  <c r="Z171" i="3"/>
  <c r="AF89" i="3"/>
  <c r="AH89" i="3" s="1"/>
  <c r="BD153" i="3"/>
  <c r="BF153" i="3" s="1"/>
  <c r="BI153" i="3" s="1"/>
  <c r="AF213" i="3"/>
  <c r="AH213" i="3" s="1"/>
  <c r="Y89" i="3"/>
  <c r="Z153" i="3"/>
  <c r="Y148" i="3"/>
  <c r="Z74" i="3"/>
  <c r="Y172" i="3"/>
  <c r="Y156" i="3"/>
  <c r="Y140" i="3"/>
  <c r="Z213" i="3"/>
  <c r="Y177" i="3"/>
  <c r="AF159" i="3"/>
  <c r="AG159" i="3" s="1"/>
  <c r="AD216" i="3"/>
  <c r="AC216" i="3"/>
  <c r="AF192" i="3"/>
  <c r="AH192" i="3" s="1"/>
  <c r="Z260" i="3"/>
  <c r="Z172" i="3"/>
  <c r="Z88" i="3"/>
  <c r="AH147" i="3"/>
  <c r="BD177" i="3"/>
  <c r="BE177" i="3" s="1"/>
  <c r="BH177" i="3" s="1"/>
  <c r="BD137" i="3"/>
  <c r="BE137" i="3" s="1"/>
  <c r="BH137" i="3" s="1"/>
  <c r="BD88" i="3"/>
  <c r="BE88" i="3" s="1"/>
  <c r="BH88" i="3" s="1"/>
  <c r="Z192" i="3"/>
  <c r="Z137" i="3"/>
  <c r="Y260" i="3"/>
  <c r="AF88" i="3"/>
  <c r="AH88" i="3" s="1"/>
  <c r="BD159" i="3"/>
  <c r="BE159" i="3" s="1"/>
  <c r="BH159" i="3" s="1"/>
  <c r="AF216" i="3"/>
  <c r="Z175" i="3"/>
  <c r="Z151" i="3"/>
  <c r="AF260" i="3"/>
  <c r="AH260" i="3" s="1"/>
  <c r="Z230" i="3"/>
  <c r="Y211" i="3"/>
  <c r="Y86" i="3"/>
  <c r="AF211" i="3"/>
  <c r="AG211" i="3" s="1"/>
  <c r="Y202" i="3"/>
  <c r="AF153" i="3"/>
  <c r="AH153" i="3" s="1"/>
  <c r="Z228" i="3"/>
  <c r="Z138" i="3"/>
  <c r="Y138" i="3"/>
  <c r="Y239" i="3"/>
  <c r="Y227" i="3"/>
  <c r="Y99" i="3"/>
  <c r="BD213" i="3"/>
  <c r="BF213" i="3" s="1"/>
  <c r="BI213" i="3" s="1"/>
  <c r="AF138" i="3"/>
  <c r="AF239" i="3"/>
  <c r="AG239" i="3" s="1"/>
  <c r="Y151" i="3"/>
  <c r="Z258" i="3"/>
  <c r="AF144" i="3"/>
  <c r="AH144" i="3" s="1"/>
  <c r="Z119" i="3"/>
  <c r="AF230" i="3"/>
  <c r="AH230" i="3" s="1"/>
  <c r="AF99" i="3"/>
  <c r="AG99" i="3" s="1"/>
  <c r="Z86" i="3"/>
  <c r="AF231" i="3"/>
  <c r="Z208" i="3"/>
  <c r="AF208" i="3"/>
  <c r="Y208" i="3"/>
  <c r="AF148" i="3"/>
  <c r="AH148" i="3" s="1"/>
  <c r="Y183" i="3"/>
  <c r="Y74" i="3"/>
  <c r="AF140" i="3"/>
  <c r="AH140" i="3" s="1"/>
  <c r="Z183" i="3"/>
  <c r="Y119" i="3"/>
  <c r="BD140" i="3"/>
  <c r="BE140" i="3" s="1"/>
  <c r="BH140" i="3" s="1"/>
  <c r="BD208" i="3"/>
  <c r="BE66" i="3"/>
  <c r="BH66" i="3" s="1"/>
  <c r="BF66" i="3"/>
  <c r="BI66" i="3" s="1"/>
  <c r="AX151" i="3"/>
  <c r="AY151" i="3"/>
  <c r="AZ151" i="3"/>
  <c r="BB83" i="3"/>
  <c r="BA83" i="3"/>
  <c r="AY259" i="3"/>
  <c r="AX259" i="3"/>
  <c r="AZ259" i="3"/>
  <c r="AX206" i="3"/>
  <c r="AZ206" i="3"/>
  <c r="AY206" i="3"/>
  <c r="Y197" i="3"/>
  <c r="BD197" i="3"/>
  <c r="Z197" i="3"/>
  <c r="AF197" i="3"/>
  <c r="AG161" i="3"/>
  <c r="AH161" i="3"/>
  <c r="AF102" i="3"/>
  <c r="Y102" i="3"/>
  <c r="Z102" i="3"/>
  <c r="AH116" i="3"/>
  <c r="AG116" i="3"/>
  <c r="BA193" i="3"/>
  <c r="BB193" i="3"/>
  <c r="BD193" i="3"/>
  <c r="BA115" i="3"/>
  <c r="BB115" i="3"/>
  <c r="BA155" i="3"/>
  <c r="BB155" i="3"/>
  <c r="BA161" i="3"/>
  <c r="BB161" i="3"/>
  <c r="BA124" i="3"/>
  <c r="BB124" i="3"/>
  <c r="AG166" i="3"/>
  <c r="AH166" i="3"/>
  <c r="BD115" i="3"/>
  <c r="Y242" i="3"/>
  <c r="AF242" i="3"/>
  <c r="Z242" i="3"/>
  <c r="BD242" i="3"/>
  <c r="AH79" i="3"/>
  <c r="AG79" i="3"/>
  <c r="AH171" i="3"/>
  <c r="AG171" i="3"/>
  <c r="AX180" i="3"/>
  <c r="AZ180" i="3"/>
  <c r="AY180" i="3"/>
  <c r="Y112" i="3"/>
  <c r="AF112" i="3"/>
  <c r="Z112" i="3"/>
  <c r="AG108" i="3"/>
  <c r="AH108" i="3"/>
  <c r="BA128" i="3"/>
  <c r="BB128" i="3"/>
  <c r="AF255" i="3"/>
  <c r="Z255" i="3"/>
  <c r="Y255" i="3"/>
  <c r="BB149" i="3"/>
  <c r="BA149" i="3"/>
  <c r="BD149" i="3"/>
  <c r="AY129" i="3"/>
  <c r="AX129" i="3"/>
  <c r="AZ129" i="3"/>
  <c r="Y225" i="3"/>
  <c r="AF225" i="3"/>
  <c r="Z225" i="3"/>
  <c r="AY75" i="3"/>
  <c r="AZ75" i="3"/>
  <c r="AX75" i="3"/>
  <c r="AG237" i="3"/>
  <c r="AH237" i="3"/>
  <c r="AF257" i="3"/>
  <c r="Z257" i="3"/>
  <c r="Y257" i="3"/>
  <c r="AH202" i="3"/>
  <c r="AG202" i="3"/>
  <c r="AG141" i="3"/>
  <c r="AH141" i="3"/>
  <c r="AX120" i="3"/>
  <c r="AZ120" i="3"/>
  <c r="AY120" i="3"/>
  <c r="AG162" i="3"/>
  <c r="AH162" i="3"/>
  <c r="BA192" i="3"/>
  <c r="BB192" i="3"/>
  <c r="BD192" i="3"/>
  <c r="AH184" i="3"/>
  <c r="AG184" i="3"/>
  <c r="AG151" i="3"/>
  <c r="AH151" i="3"/>
  <c r="AF96" i="3"/>
  <c r="Y96" i="3"/>
  <c r="Z96" i="3"/>
  <c r="AY164" i="3"/>
  <c r="AX164" i="3"/>
  <c r="AZ164" i="3"/>
  <c r="AH126" i="3"/>
  <c r="AG126" i="3"/>
  <c r="AH128" i="3"/>
  <c r="AG128" i="3"/>
  <c r="BD90" i="3"/>
  <c r="AF90" i="3"/>
  <c r="Y90" i="3"/>
  <c r="Z90" i="3"/>
  <c r="AZ106" i="3"/>
  <c r="AX106" i="3"/>
  <c r="AY106" i="3"/>
  <c r="Y221" i="3"/>
  <c r="AF221" i="3"/>
  <c r="Z221" i="3"/>
  <c r="AF105" i="3"/>
  <c r="Z105" i="3"/>
  <c r="Y105" i="3"/>
  <c r="AH87" i="3"/>
  <c r="AG87" i="3"/>
  <c r="AY226" i="3"/>
  <c r="AZ226" i="3"/>
  <c r="AX226" i="3"/>
  <c r="BA110" i="3"/>
  <c r="BB110" i="3"/>
  <c r="BA159" i="3"/>
  <c r="BB159" i="3"/>
  <c r="BB177" i="3"/>
  <c r="BA177" i="3"/>
  <c r="BA67" i="3"/>
  <c r="BB67" i="3"/>
  <c r="BA263" i="3"/>
  <c r="BB263" i="3"/>
  <c r="BD263" i="3"/>
  <c r="BB88" i="3"/>
  <c r="BA88" i="3"/>
  <c r="BB178" i="3"/>
  <c r="BA178" i="3"/>
  <c r="BA116" i="3"/>
  <c r="BB116" i="3"/>
  <c r="BA224" i="3"/>
  <c r="BB224" i="3"/>
  <c r="BD224" i="3"/>
  <c r="BA197" i="3"/>
  <c r="BB197" i="3"/>
  <c r="BA220" i="3"/>
  <c r="BB220" i="3"/>
  <c r="AH71" i="3"/>
  <c r="AH247" i="3"/>
  <c r="AG247" i="3"/>
  <c r="BB205" i="3"/>
  <c r="BA205" i="3"/>
  <c r="BB137" i="3"/>
  <c r="BA137" i="3"/>
  <c r="AY235" i="3"/>
  <c r="AX235" i="3"/>
  <c r="AZ235" i="3"/>
  <c r="AF97" i="3"/>
  <c r="Z97" i="3"/>
  <c r="Y97" i="3"/>
  <c r="Y195" i="3"/>
  <c r="Z195" i="3"/>
  <c r="AF195" i="3"/>
  <c r="AX225" i="3"/>
  <c r="AY225" i="3"/>
  <c r="AZ225" i="3"/>
  <c r="BD225" i="3" s="1"/>
  <c r="AH95" i="3"/>
  <c r="AG95" i="3"/>
  <c r="AH172" i="3"/>
  <c r="AG172" i="3"/>
  <c r="AZ203" i="3"/>
  <c r="AX203" i="3"/>
  <c r="AY203" i="3"/>
  <c r="Y157" i="3"/>
  <c r="AF157" i="3"/>
  <c r="Z157" i="3"/>
  <c r="AF185" i="3"/>
  <c r="Z185" i="3"/>
  <c r="Y185" i="3"/>
  <c r="BD161" i="3"/>
  <c r="AF176" i="3"/>
  <c r="Z176" i="3"/>
  <c r="Y176" i="3"/>
  <c r="AH177" i="3"/>
  <c r="AG177" i="3"/>
  <c r="BA249" i="3"/>
  <c r="BB249" i="3"/>
  <c r="BD249" i="3"/>
  <c r="BB123" i="3"/>
  <c r="BA123" i="3"/>
  <c r="BD123" i="3"/>
  <c r="AD218" i="3"/>
  <c r="AC218" i="3"/>
  <c r="AG143" i="3"/>
  <c r="AH143" i="3"/>
  <c r="BB64" i="3"/>
  <c r="BA64" i="3"/>
  <c r="BA108" i="3"/>
  <c r="BB108" i="3"/>
  <c r="BB98" i="3"/>
  <c r="BA98" i="3"/>
  <c r="BD98" i="3"/>
  <c r="AC115" i="3"/>
  <c r="AD115" i="3"/>
  <c r="BB84" i="3"/>
  <c r="BA84" i="3"/>
  <c r="BD205" i="3"/>
  <c r="BB166" i="3"/>
  <c r="BA166" i="3"/>
  <c r="AH94" i="3"/>
  <c r="AG94" i="3"/>
  <c r="AH178" i="3"/>
  <c r="AG178" i="3"/>
  <c r="BD166" i="3"/>
  <c r="BD155" i="3"/>
  <c r="AG78" i="3"/>
  <c r="BA251" i="3"/>
  <c r="BB251" i="3"/>
  <c r="BD251" i="3"/>
  <c r="BA190" i="3"/>
  <c r="BB190" i="3"/>
  <c r="AH233" i="3"/>
  <c r="AG233" i="3"/>
  <c r="BA162" i="3"/>
  <c r="BB162" i="3"/>
  <c r="AZ167" i="3"/>
  <c r="AX167" i="3"/>
  <c r="AY167" i="3"/>
  <c r="AX143" i="3"/>
  <c r="AY143" i="3"/>
  <c r="AZ143" i="3"/>
  <c r="AY258" i="3"/>
  <c r="AZ258" i="3"/>
  <c r="AX258" i="3"/>
  <c r="BD220" i="3"/>
  <c r="AF139" i="3"/>
  <c r="Z139" i="3"/>
  <c r="Y139" i="3"/>
  <c r="BD83" i="3"/>
  <c r="AH210" i="3"/>
  <c r="AG210" i="3"/>
  <c r="AY74" i="3"/>
  <c r="AX74" i="3"/>
  <c r="AZ74" i="3"/>
  <c r="BB207" i="3"/>
  <c r="BA207" i="3"/>
  <c r="BD207" i="3"/>
  <c r="BB170" i="3"/>
  <c r="BA170" i="3"/>
  <c r="BB213" i="3"/>
  <c r="BA213" i="3"/>
  <c r="BA223" i="3"/>
  <c r="BB223" i="3"/>
  <c r="BB66" i="3"/>
  <c r="BA66" i="3"/>
  <c r="BA154" i="3"/>
  <c r="BB154" i="3"/>
  <c r="AY131" i="3"/>
  <c r="AX131" i="3"/>
  <c r="AZ131" i="3"/>
  <c r="AG227" i="3"/>
  <c r="AH227" i="3"/>
  <c r="AG245" i="3"/>
  <c r="AH245" i="3"/>
  <c r="AX109" i="3"/>
  <c r="AY109" i="3"/>
  <c r="AZ109" i="3"/>
  <c r="AY237" i="3"/>
  <c r="AX237" i="3"/>
  <c r="AZ237" i="3"/>
  <c r="AX147" i="3"/>
  <c r="AY147" i="3"/>
  <c r="AZ147" i="3"/>
  <c r="AZ69" i="3"/>
  <c r="AY69" i="3"/>
  <c r="AX69" i="3"/>
  <c r="AY156" i="3"/>
  <c r="AZ156" i="3"/>
  <c r="AX156" i="3"/>
  <c r="AZ254" i="3"/>
  <c r="AX254" i="3"/>
  <c r="AY254" i="3"/>
  <c r="BB153" i="3"/>
  <c r="BA153" i="3"/>
  <c r="BA79" i="3"/>
  <c r="BB79" i="3"/>
  <c r="BB90" i="3"/>
  <c r="BA90" i="3"/>
  <c r="BA238" i="3"/>
  <c r="BB238" i="3"/>
  <c r="BD238" i="3"/>
  <c r="AH170" i="3"/>
  <c r="AG170" i="3"/>
  <c r="AD64" i="3"/>
  <c r="AC64" i="3"/>
  <c r="BA246" i="3"/>
  <c r="BB246" i="3"/>
  <c r="BA242" i="3"/>
  <c r="BB242" i="3"/>
  <c r="BD154" i="3"/>
  <c r="BB245" i="3"/>
  <c r="BA245" i="3"/>
  <c r="BA132" i="3"/>
  <c r="BB132" i="3"/>
  <c r="BB81" i="3"/>
  <c r="BA81" i="3"/>
  <c r="AF64" i="3"/>
  <c r="BA140" i="3"/>
  <c r="BB140" i="3"/>
  <c r="BA138" i="3"/>
  <c r="BB138" i="3"/>
  <c r="BD138" i="3"/>
  <c r="AH117" i="3" l="1"/>
  <c r="AZ65" i="3"/>
  <c r="BA65" i="3" s="1"/>
  <c r="AH261" i="3"/>
  <c r="AZ68" i="3"/>
  <c r="BD68" i="3" s="1"/>
  <c r="BF68" i="3" s="1"/>
  <c r="BI68" i="3" s="1"/>
  <c r="AD65" i="3"/>
  <c r="AC65" i="3"/>
  <c r="AF65" i="3"/>
  <c r="AG65" i="3" s="1"/>
  <c r="AC68" i="3"/>
  <c r="AD68" i="3"/>
  <c r="AF68" i="3"/>
  <c r="AG68" i="3" s="1"/>
  <c r="AH75" i="3"/>
  <c r="BD97" i="3"/>
  <c r="BF97" i="3" s="1"/>
  <c r="BI97" i="3" s="1"/>
  <c r="BA97" i="3"/>
  <c r="BD176" i="3"/>
  <c r="BE176" i="3" s="1"/>
  <c r="BH176" i="3" s="1"/>
  <c r="BA176" i="3"/>
  <c r="AG66" i="3"/>
  <c r="BD214" i="3"/>
  <c r="BE214" i="3" s="1"/>
  <c r="BH214" i="3" s="1"/>
  <c r="BB214" i="3"/>
  <c r="AH263" i="3"/>
  <c r="AG74" i="3"/>
  <c r="BA232" i="3"/>
  <c r="BD99" i="3"/>
  <c r="BF99" i="3" s="1"/>
  <c r="BI99" i="3" s="1"/>
  <c r="BA99" i="3"/>
  <c r="BE162" i="3"/>
  <c r="BH162" i="3" s="1"/>
  <c r="AH256" i="3"/>
  <c r="BD232" i="3"/>
  <c r="BF232" i="3" s="1"/>
  <c r="BI232" i="3" s="1"/>
  <c r="AH232" i="3"/>
  <c r="AG179" i="3"/>
  <c r="AH122" i="3"/>
  <c r="AG182" i="3"/>
  <c r="BD200" i="3"/>
  <c r="BE200" i="3" s="1"/>
  <c r="BH200" i="3" s="1"/>
  <c r="BE191" i="3"/>
  <c r="BH191" i="3" s="1"/>
  <c r="AH248" i="3"/>
  <c r="BD201" i="3"/>
  <c r="BE201" i="3" s="1"/>
  <c r="BH201" i="3" s="1"/>
  <c r="AH164" i="3"/>
  <c r="AG262" i="3"/>
  <c r="BF135" i="3"/>
  <c r="BI135" i="3" s="1"/>
  <c r="BD136" i="3"/>
  <c r="BF136" i="3" s="1"/>
  <c r="BI136" i="3" s="1"/>
  <c r="AG191" i="3"/>
  <c r="AH241" i="3"/>
  <c r="BA73" i="3"/>
  <c r="BB73" i="3"/>
  <c r="AG77" i="3"/>
  <c r="AC246" i="3"/>
  <c r="AG73" i="3"/>
  <c r="BB247" i="3"/>
  <c r="AH168" i="3"/>
  <c r="BE158" i="3"/>
  <c r="BH158" i="3" s="1"/>
  <c r="BB82" i="3"/>
  <c r="BA135" i="3"/>
  <c r="BB158" i="3"/>
  <c r="AH135" i="3"/>
  <c r="BB191" i="3"/>
  <c r="AG130" i="3"/>
  <c r="BA158" i="3"/>
  <c r="BA191" i="3"/>
  <c r="BE73" i="3"/>
  <c r="BH73" i="3" s="1"/>
  <c r="BD82" i="3"/>
  <c r="BF82" i="3" s="1"/>
  <c r="BI82" i="3" s="1"/>
  <c r="AG204" i="3"/>
  <c r="BD195" i="3"/>
  <c r="BE195" i="3" s="1"/>
  <c r="BH195" i="3" s="1"/>
  <c r="AG136" i="3"/>
  <c r="BF247" i="3"/>
  <c r="BI247" i="3" s="1"/>
  <c r="BB136" i="3"/>
  <c r="BA195" i="3"/>
  <c r="BB135" i="3"/>
  <c r="BE79" i="3"/>
  <c r="BH79" i="3" s="1"/>
  <c r="BA247" i="3"/>
  <c r="AG174" i="3"/>
  <c r="BB148" i="3"/>
  <c r="BA148" i="3"/>
  <c r="BE130" i="3"/>
  <c r="BH130" i="3" s="1"/>
  <c r="BF67" i="3"/>
  <c r="BI67" i="3" s="1"/>
  <c r="BA130" i="3"/>
  <c r="AG106" i="3"/>
  <c r="AH226" i="3"/>
  <c r="BD100" i="3"/>
  <c r="BE100" i="3" s="1"/>
  <c r="BH100" i="3" s="1"/>
  <c r="BB255" i="3"/>
  <c r="BF132" i="3"/>
  <c r="BI132" i="3" s="1"/>
  <c r="BB71" i="3"/>
  <c r="BA152" i="3"/>
  <c r="BB200" i="3"/>
  <c r="BB160" i="3"/>
  <c r="AG175" i="3"/>
  <c r="AG120" i="3"/>
  <c r="BF190" i="3"/>
  <c r="BI190" i="3" s="1"/>
  <c r="AH235" i="3"/>
  <c r="BD152" i="3"/>
  <c r="BE152" i="3" s="1"/>
  <c r="BH152" i="3" s="1"/>
  <c r="AG83" i="3"/>
  <c r="AG193" i="3"/>
  <c r="BF85" i="3"/>
  <c r="BI85" i="3" s="1"/>
  <c r="BA160" i="3"/>
  <c r="AD246" i="3"/>
  <c r="BD222" i="3"/>
  <c r="BF222" i="3" s="1"/>
  <c r="BI222" i="3" s="1"/>
  <c r="AG206" i="3"/>
  <c r="BA71" i="3"/>
  <c r="BE71" i="3"/>
  <c r="BH71" i="3" s="1"/>
  <c r="BF81" i="3"/>
  <c r="BI81" i="3" s="1"/>
  <c r="BA217" i="3"/>
  <c r="BA85" i="3"/>
  <c r="AG127" i="3"/>
  <c r="AH229" i="3"/>
  <c r="AG132" i="3"/>
  <c r="BB105" i="3"/>
  <c r="BB85" i="3"/>
  <c r="AH72" i="3"/>
  <c r="BA125" i="3"/>
  <c r="BA250" i="3"/>
  <c r="BD119" i="3"/>
  <c r="BE119" i="3" s="1"/>
  <c r="BH119" i="3" s="1"/>
  <c r="AG253" i="3"/>
  <c r="BB103" i="3"/>
  <c r="BE250" i="3"/>
  <c r="BH250" i="3" s="1"/>
  <c r="BD157" i="3"/>
  <c r="BE157" i="3" s="1"/>
  <c r="BH157" i="3" s="1"/>
  <c r="BB119" i="3"/>
  <c r="BA133" i="3"/>
  <c r="BB130" i="3"/>
  <c r="AH152" i="3"/>
  <c r="BD103" i="3"/>
  <c r="BF103" i="3" s="1"/>
  <c r="BI103" i="3" s="1"/>
  <c r="BB157" i="3"/>
  <c r="AG81" i="3"/>
  <c r="BF125" i="3"/>
  <c r="BI125" i="3" s="1"/>
  <c r="BE170" i="3"/>
  <c r="BH170" i="3" s="1"/>
  <c r="BB125" i="3"/>
  <c r="AG244" i="3"/>
  <c r="BB133" i="3"/>
  <c r="BE245" i="3"/>
  <c r="BH245" i="3" s="1"/>
  <c r="AH69" i="3"/>
  <c r="BB201" i="3"/>
  <c r="BB222" i="3"/>
  <c r="BB188" i="3"/>
  <c r="AG67" i="3"/>
  <c r="AH160" i="3"/>
  <c r="AG125" i="3"/>
  <c r="AG218" i="3"/>
  <c r="BD228" i="3"/>
  <c r="BF228" i="3" s="1"/>
  <c r="BI228" i="3" s="1"/>
  <c r="AH118" i="3"/>
  <c r="AH100" i="3"/>
  <c r="BD104" i="3"/>
  <c r="BE104" i="3" s="1"/>
  <c r="BH104" i="3" s="1"/>
  <c r="BA105" i="3"/>
  <c r="BB186" i="3"/>
  <c r="AH194" i="3"/>
  <c r="AG119" i="3"/>
  <c r="AG258" i="3"/>
  <c r="AH169" i="3"/>
  <c r="AH93" i="3"/>
  <c r="AH133" i="3"/>
  <c r="BD92" i="3"/>
  <c r="BE92" i="3" s="1"/>
  <c r="BH92" i="3" s="1"/>
  <c r="BD229" i="3"/>
  <c r="BE229" i="3" s="1"/>
  <c r="BH229" i="3" s="1"/>
  <c r="AH264" i="3"/>
  <c r="BE124" i="3"/>
  <c r="BH124" i="3" s="1"/>
  <c r="BB101" i="3"/>
  <c r="BE264" i="3"/>
  <c r="BH264" i="3" s="1"/>
  <c r="BB217" i="3"/>
  <c r="AH220" i="3"/>
  <c r="BB100" i="3"/>
  <c r="BD255" i="3"/>
  <c r="BE255" i="3" s="1"/>
  <c r="BH255" i="3" s="1"/>
  <c r="AH234" i="3"/>
  <c r="AG243" i="3"/>
  <c r="AG149" i="3"/>
  <c r="BA80" i="3"/>
  <c r="BA86" i="3"/>
  <c r="AH131" i="3"/>
  <c r="AG240" i="3"/>
  <c r="BD240" i="3"/>
  <c r="BE240" i="3" s="1"/>
  <c r="BH240" i="3" s="1"/>
  <c r="BA228" i="3"/>
  <c r="AG254" i="3"/>
  <c r="AG98" i="3"/>
  <c r="BA104" i="3"/>
  <c r="BA169" i="3"/>
  <c r="BA229" i="3"/>
  <c r="AG173" i="3"/>
  <c r="BA257" i="3"/>
  <c r="BA139" i="3"/>
  <c r="AG124" i="3"/>
  <c r="BB240" i="3"/>
  <c r="AH115" i="3"/>
  <c r="BB264" i="3"/>
  <c r="AH165" i="3"/>
  <c r="AH252" i="3"/>
  <c r="BD139" i="3"/>
  <c r="BE139" i="3" s="1"/>
  <c r="BH139" i="3" s="1"/>
  <c r="BA264" i="3"/>
  <c r="AG215" i="3"/>
  <c r="AG251" i="3"/>
  <c r="AG250" i="3"/>
  <c r="AG209" i="3"/>
  <c r="BB250" i="3"/>
  <c r="AG80" i="3"/>
  <c r="AH190" i="3"/>
  <c r="AG158" i="3"/>
  <c r="AG146" i="3"/>
  <c r="AH104" i="3"/>
  <c r="BF84" i="3"/>
  <c r="BI84" i="3" s="1"/>
  <c r="BB215" i="3"/>
  <c r="AH167" i="3"/>
  <c r="BA219" i="3"/>
  <c r="AG85" i="3"/>
  <c r="AH123" i="3"/>
  <c r="BA239" i="3"/>
  <c r="BE188" i="3"/>
  <c r="BH188" i="3" s="1"/>
  <c r="AH224" i="3"/>
  <c r="AH187" i="3"/>
  <c r="AH196" i="3"/>
  <c r="BE116" i="3"/>
  <c r="BH116" i="3" s="1"/>
  <c r="AH134" i="3"/>
  <c r="AH70" i="3"/>
  <c r="BA231" i="3"/>
  <c r="BD101" i="3"/>
  <c r="BE101" i="3" s="1"/>
  <c r="BH101" i="3" s="1"/>
  <c r="AH114" i="3"/>
  <c r="AG205" i="3"/>
  <c r="AH92" i="3"/>
  <c r="AH101" i="3"/>
  <c r="AG222" i="3"/>
  <c r="BA186" i="3"/>
  <c r="BA188" i="3"/>
  <c r="BD257" i="3"/>
  <c r="BF257" i="3" s="1"/>
  <c r="BI257" i="3" s="1"/>
  <c r="BA145" i="3"/>
  <c r="AH188" i="3"/>
  <c r="BB86" i="3"/>
  <c r="AG198" i="3"/>
  <c r="BD80" i="3"/>
  <c r="BF80" i="3" s="1"/>
  <c r="BI80" i="3" s="1"/>
  <c r="BB169" i="3"/>
  <c r="AH142" i="3"/>
  <c r="BD215" i="3"/>
  <c r="BE215" i="3" s="1"/>
  <c r="BH215" i="3" s="1"/>
  <c r="BA92" i="3"/>
  <c r="BF169" i="3"/>
  <c r="BI169" i="3" s="1"/>
  <c r="BD187" i="3"/>
  <c r="BE187" i="3" s="1"/>
  <c r="BH187" i="3" s="1"/>
  <c r="AG150" i="3"/>
  <c r="BB187" i="3"/>
  <c r="AG181" i="3"/>
  <c r="AG180" i="3"/>
  <c r="BD219" i="3"/>
  <c r="BF219" i="3" s="1"/>
  <c r="BI219" i="3" s="1"/>
  <c r="BF134" i="3"/>
  <c r="BI134" i="3" s="1"/>
  <c r="AG121" i="3"/>
  <c r="AH183" i="3"/>
  <c r="BA96" i="3"/>
  <c r="AG199" i="3"/>
  <c r="AH84" i="3"/>
  <c r="BD145" i="3"/>
  <c r="BF145" i="3" s="1"/>
  <c r="BI145" i="3" s="1"/>
  <c r="BD96" i="3"/>
  <c r="BE96" i="3" s="1"/>
  <c r="BH96" i="3" s="1"/>
  <c r="AH86" i="3"/>
  <c r="AG113" i="3"/>
  <c r="BF108" i="3"/>
  <c r="BI108" i="3" s="1"/>
  <c r="BE199" i="3"/>
  <c r="BH199" i="3" s="1"/>
  <c r="BB199" i="3"/>
  <c r="BA199" i="3"/>
  <c r="BD231" i="3"/>
  <c r="BE231" i="3" s="1"/>
  <c r="BH231" i="3" s="1"/>
  <c r="BB134" i="3"/>
  <c r="BB252" i="3"/>
  <c r="BF252" i="3"/>
  <c r="BI252" i="3" s="1"/>
  <c r="BA252" i="3"/>
  <c r="BA134" i="3"/>
  <c r="BA87" i="3"/>
  <c r="BA241" i="3"/>
  <c r="BF241" i="3"/>
  <c r="BI241" i="3" s="1"/>
  <c r="BB241" i="3"/>
  <c r="BD87" i="3"/>
  <c r="BE87" i="3" s="1"/>
  <c r="BH87" i="3" s="1"/>
  <c r="AG207" i="3"/>
  <c r="BE118" i="3"/>
  <c r="BH118" i="3" s="1"/>
  <c r="BD77" i="3"/>
  <c r="BF77" i="3" s="1"/>
  <c r="BI77" i="3" s="1"/>
  <c r="BB77" i="3"/>
  <c r="BB118" i="3"/>
  <c r="BA118" i="3"/>
  <c r="BD181" i="3"/>
  <c r="BE181" i="3" s="1"/>
  <c r="BH181" i="3" s="1"/>
  <c r="BE150" i="3"/>
  <c r="BH150" i="3" s="1"/>
  <c r="BB150" i="3"/>
  <c r="BF168" i="3"/>
  <c r="BI168" i="3" s="1"/>
  <c r="BB94" i="3"/>
  <c r="BB181" i="3"/>
  <c r="BA168" i="3"/>
  <c r="BD94" i="3"/>
  <c r="BE94" i="3" s="1"/>
  <c r="BH94" i="3" s="1"/>
  <c r="BB168" i="3"/>
  <c r="BD76" i="3"/>
  <c r="BF76" i="3" s="1"/>
  <c r="BI76" i="3" s="1"/>
  <c r="BA150" i="3"/>
  <c r="BA174" i="3"/>
  <c r="BB76" i="3"/>
  <c r="BD113" i="3"/>
  <c r="BE113" i="3" s="1"/>
  <c r="BH113" i="3" s="1"/>
  <c r="BE209" i="3"/>
  <c r="BH209" i="3" s="1"/>
  <c r="BF196" i="3"/>
  <c r="BI196" i="3" s="1"/>
  <c r="BF142" i="3"/>
  <c r="BI142" i="3" s="1"/>
  <c r="BE173" i="3"/>
  <c r="BH173" i="3" s="1"/>
  <c r="BB173" i="3"/>
  <c r="BA117" i="3"/>
  <c r="BE117" i="3"/>
  <c r="BH117" i="3" s="1"/>
  <c r="BD244" i="3"/>
  <c r="BE244" i="3" s="1"/>
  <c r="BH244" i="3" s="1"/>
  <c r="BA89" i="3"/>
  <c r="BB163" i="3"/>
  <c r="BB204" i="3"/>
  <c r="BD89" i="3"/>
  <c r="BE89" i="3" s="1"/>
  <c r="BH89" i="3" s="1"/>
  <c r="AG129" i="3"/>
  <c r="BB196" i="3"/>
  <c r="BB209" i="3"/>
  <c r="BB142" i="3"/>
  <c r="BA196" i="3"/>
  <c r="BA113" i="3"/>
  <c r="BB174" i="3"/>
  <c r="BA209" i="3"/>
  <c r="BD204" i="3"/>
  <c r="BF204" i="3" s="1"/>
  <c r="BI204" i="3" s="1"/>
  <c r="BB117" i="3"/>
  <c r="BB244" i="3"/>
  <c r="BA173" i="3"/>
  <c r="BA175" i="3"/>
  <c r="BD239" i="3"/>
  <c r="BE239" i="3" s="1"/>
  <c r="BH239" i="3" s="1"/>
  <c r="BA171" i="3"/>
  <c r="BD211" i="3"/>
  <c r="BF211" i="3" s="1"/>
  <c r="BI211" i="3" s="1"/>
  <c r="BA163" i="3"/>
  <c r="BA142" i="3"/>
  <c r="AH219" i="3"/>
  <c r="BA261" i="3"/>
  <c r="BD185" i="3"/>
  <c r="BE185" i="3" s="1"/>
  <c r="BH185" i="3" s="1"/>
  <c r="BD221" i="3"/>
  <c r="BE221" i="3" s="1"/>
  <c r="BH221" i="3" s="1"/>
  <c r="BA256" i="3"/>
  <c r="BB211" i="3"/>
  <c r="BB175" i="3"/>
  <c r="BB221" i="3"/>
  <c r="BD72" i="3"/>
  <c r="BE72" i="3" s="1"/>
  <c r="BH72" i="3" s="1"/>
  <c r="BA72" i="3"/>
  <c r="BE261" i="3"/>
  <c r="BH261" i="3" s="1"/>
  <c r="BA243" i="3"/>
  <c r="BD93" i="3"/>
  <c r="BF93" i="3" s="1"/>
  <c r="BI93" i="3" s="1"/>
  <c r="BA93" i="3"/>
  <c r="BD256" i="3"/>
  <c r="BE256" i="3" s="1"/>
  <c r="BH256" i="3" s="1"/>
  <c r="BB261" i="3"/>
  <c r="BD243" i="3"/>
  <c r="BE243" i="3" s="1"/>
  <c r="BH243" i="3" s="1"/>
  <c r="BB185" i="3"/>
  <c r="BB107" i="3"/>
  <c r="BD112" i="3"/>
  <c r="BF112" i="3" s="1"/>
  <c r="BI112" i="3" s="1"/>
  <c r="BE141" i="3"/>
  <c r="BH141" i="3" s="1"/>
  <c r="BA112" i="3"/>
  <c r="BB141" i="3"/>
  <c r="BD172" i="3"/>
  <c r="BF172" i="3" s="1"/>
  <c r="BI172" i="3" s="1"/>
  <c r="BD107" i="3"/>
  <c r="BE107" i="3" s="1"/>
  <c r="BH107" i="3" s="1"/>
  <c r="BF165" i="3"/>
  <c r="BI165" i="3" s="1"/>
  <c r="BA141" i="3"/>
  <c r="BB91" i="3"/>
  <c r="BB165" i="3"/>
  <c r="BD260" i="3"/>
  <c r="BF260" i="3" s="1"/>
  <c r="BI260" i="3" s="1"/>
  <c r="BA260" i="3"/>
  <c r="BA91" i="3"/>
  <c r="BA165" i="3"/>
  <c r="BB171" i="3"/>
  <c r="BD227" i="3"/>
  <c r="BE227" i="3" s="1"/>
  <c r="BH227" i="3" s="1"/>
  <c r="BB182" i="3"/>
  <c r="BD182" i="3"/>
  <c r="BE182" i="3" s="1"/>
  <c r="BH182" i="3" s="1"/>
  <c r="AH249" i="3"/>
  <c r="BD144" i="3"/>
  <c r="BF144" i="3" s="1"/>
  <c r="BI144" i="3" s="1"/>
  <c r="BD218" i="3"/>
  <c r="BF218" i="3" s="1"/>
  <c r="BI218" i="3" s="1"/>
  <c r="BA218" i="3"/>
  <c r="BB122" i="3"/>
  <c r="BA179" i="3"/>
  <c r="BA198" i="3"/>
  <c r="BA122" i="3"/>
  <c r="BB198" i="3"/>
  <c r="BB179" i="3"/>
  <c r="BA189" i="3"/>
  <c r="BD189" i="3"/>
  <c r="BE189" i="3" s="1"/>
  <c r="BH189" i="3" s="1"/>
  <c r="BB202" i="3"/>
  <c r="BA172" i="3"/>
  <c r="BB114" i="3"/>
  <c r="BD114" i="3"/>
  <c r="BE114" i="3" s="1"/>
  <c r="BH114" i="3" s="1"/>
  <c r="BA102" i="3"/>
  <c r="BB102" i="3"/>
  <c r="BA227" i="3"/>
  <c r="BA262" i="3"/>
  <c r="BD202" i="3"/>
  <c r="BF202" i="3" s="1"/>
  <c r="BI202" i="3" s="1"/>
  <c r="BB262" i="3"/>
  <c r="BA236" i="3"/>
  <c r="BD183" i="3"/>
  <c r="BE183" i="3" s="1"/>
  <c r="BH183" i="3" s="1"/>
  <c r="BD236" i="3"/>
  <c r="BF236" i="3" s="1"/>
  <c r="BI236" i="3" s="1"/>
  <c r="BA126" i="3"/>
  <c r="AH189" i="3"/>
  <c r="BA144" i="3"/>
  <c r="BE178" i="3"/>
  <c r="BH178" i="3" s="1"/>
  <c r="BE126" i="3"/>
  <c r="BH126" i="3" s="1"/>
  <c r="BB126" i="3"/>
  <c r="BB248" i="3"/>
  <c r="BB212" i="3"/>
  <c r="BD230" i="3"/>
  <c r="BE230" i="3" s="1"/>
  <c r="BH230" i="3" s="1"/>
  <c r="BA111" i="3"/>
  <c r="BB111" i="3"/>
  <c r="BA230" i="3"/>
  <c r="BF248" i="3"/>
  <c r="BI248" i="3" s="1"/>
  <c r="BA248" i="3"/>
  <c r="BD234" i="3"/>
  <c r="BF234" i="3" s="1"/>
  <c r="BI234" i="3" s="1"/>
  <c r="BA234" i="3"/>
  <c r="AG145" i="3"/>
  <c r="BF127" i="3"/>
  <c r="BI127" i="3" s="1"/>
  <c r="BB194" i="3"/>
  <c r="BB146" i="3"/>
  <c r="BE146" i="3"/>
  <c r="BH146" i="3" s="1"/>
  <c r="BA78" i="3"/>
  <c r="BA146" i="3"/>
  <c r="BE194" i="3"/>
  <c r="BH194" i="3" s="1"/>
  <c r="BF121" i="3"/>
  <c r="BI121" i="3" s="1"/>
  <c r="BD78" i="3"/>
  <c r="BE78" i="3" s="1"/>
  <c r="BH78" i="3" s="1"/>
  <c r="BB121" i="3"/>
  <c r="BA194" i="3"/>
  <c r="BA121" i="3"/>
  <c r="BA127" i="3"/>
  <c r="AH200" i="3"/>
  <c r="BB127" i="3"/>
  <c r="BD212" i="3"/>
  <c r="BF212" i="3" s="1"/>
  <c r="BI212" i="3" s="1"/>
  <c r="BB183" i="3"/>
  <c r="BF70" i="3"/>
  <c r="BI70" i="3" s="1"/>
  <c r="BA70" i="3"/>
  <c r="AH201" i="3"/>
  <c r="BB70" i="3"/>
  <c r="BA253" i="3"/>
  <c r="BB253" i="3"/>
  <c r="BF91" i="3"/>
  <c r="BI91" i="3" s="1"/>
  <c r="AG228" i="3"/>
  <c r="BF253" i="3"/>
  <c r="BI253" i="3" s="1"/>
  <c r="BF64" i="3"/>
  <c r="BI64" i="3" s="1"/>
  <c r="BF184" i="3"/>
  <c r="BI184" i="3" s="1"/>
  <c r="BF216" i="3"/>
  <c r="BI216" i="3" s="1"/>
  <c r="BF177" i="3"/>
  <c r="BI177" i="3" s="1"/>
  <c r="AG111" i="3"/>
  <c r="AG223" i="3"/>
  <c r="BE246" i="3"/>
  <c r="BH246" i="3" s="1"/>
  <c r="AG154" i="3"/>
  <c r="AG236" i="3"/>
  <c r="BE128" i="3"/>
  <c r="BH128" i="3" s="1"/>
  <c r="BE223" i="3"/>
  <c r="BH223" i="3" s="1"/>
  <c r="AH217" i="3"/>
  <c r="AG246" i="3"/>
  <c r="AG91" i="3"/>
  <c r="AG107" i="3"/>
  <c r="BE111" i="3"/>
  <c r="BH111" i="3" s="1"/>
  <c r="BB210" i="3"/>
  <c r="AG89" i="3"/>
  <c r="AG260" i="3"/>
  <c r="AG186" i="3"/>
  <c r="AG163" i="3"/>
  <c r="AH259" i="3"/>
  <c r="AG140" i="3"/>
  <c r="AH239" i="3"/>
  <c r="AG203" i="3"/>
  <c r="AH82" i="3"/>
  <c r="AG214" i="3"/>
  <c r="AH211" i="3"/>
  <c r="BA233" i="3"/>
  <c r="AH155" i="3"/>
  <c r="AG76" i="3"/>
  <c r="AG110" i="3"/>
  <c r="AH159" i="3"/>
  <c r="AG109" i="3"/>
  <c r="BF163" i="3"/>
  <c r="BI163" i="3" s="1"/>
  <c r="AH212" i="3"/>
  <c r="BB233" i="3"/>
  <c r="BE110" i="3"/>
  <c r="BH110" i="3" s="1"/>
  <c r="AG213" i="3"/>
  <c r="BE233" i="3"/>
  <c r="BH233" i="3" s="1"/>
  <c r="AG238" i="3"/>
  <c r="AH156" i="3"/>
  <c r="BE153" i="3"/>
  <c r="BH153" i="3" s="1"/>
  <c r="BA95" i="3"/>
  <c r="BB95" i="3"/>
  <c r="BD95" i="3"/>
  <c r="BF171" i="3"/>
  <c r="BI171" i="3" s="1"/>
  <c r="BE175" i="3"/>
  <c r="BH175" i="3" s="1"/>
  <c r="AG137" i="3"/>
  <c r="BD210" i="3"/>
  <c r="BF210" i="3" s="1"/>
  <c r="BI210" i="3" s="1"/>
  <c r="AG192" i="3"/>
  <c r="BF159" i="3"/>
  <c r="BI159" i="3" s="1"/>
  <c r="AG153" i="3"/>
  <c r="BF148" i="3"/>
  <c r="BI148" i="3" s="1"/>
  <c r="AG88" i="3"/>
  <c r="BF137" i="3"/>
  <c r="BI137" i="3" s="1"/>
  <c r="BF88" i="3"/>
  <c r="BI88" i="3" s="1"/>
  <c r="AH216" i="3"/>
  <c r="AG216" i="3"/>
  <c r="AH99" i="3"/>
  <c r="BE213" i="3"/>
  <c r="BH213" i="3" s="1"/>
  <c r="AG144" i="3"/>
  <c r="AG148" i="3"/>
  <c r="AG230" i="3"/>
  <c r="AH138" i="3"/>
  <c r="AG138" i="3"/>
  <c r="BF140" i="3"/>
  <c r="BI140" i="3" s="1"/>
  <c r="AG231" i="3"/>
  <c r="AH231" i="3"/>
  <c r="BF208" i="3"/>
  <c r="BI208" i="3" s="1"/>
  <c r="BE208" i="3"/>
  <c r="BH208" i="3" s="1"/>
  <c r="AH208" i="3"/>
  <c r="AG208" i="3"/>
  <c r="BF262" i="3"/>
  <c r="BI262" i="3" s="1"/>
  <c r="BE262" i="3"/>
  <c r="BH262" i="3" s="1"/>
  <c r="BB143" i="3"/>
  <c r="BA143" i="3"/>
  <c r="BD143" i="3"/>
  <c r="BE86" i="3"/>
  <c r="BH86" i="3" s="1"/>
  <c r="BF86" i="3"/>
  <c r="BI86" i="3" s="1"/>
  <c r="AG255" i="3"/>
  <c r="AH255" i="3"/>
  <c r="BB237" i="3"/>
  <c r="BA237" i="3"/>
  <c r="BD237" i="3"/>
  <c r="BB131" i="3"/>
  <c r="BA131" i="3"/>
  <c r="BD131" i="3"/>
  <c r="AG139" i="3"/>
  <c r="AH139" i="3"/>
  <c r="BE138" i="3"/>
  <c r="BH138" i="3" s="1"/>
  <c r="BF138" i="3"/>
  <c r="BI138" i="3" s="1"/>
  <c r="BF238" i="3"/>
  <c r="BI238" i="3" s="1"/>
  <c r="BE238" i="3"/>
  <c r="BH238" i="3" s="1"/>
  <c r="BA156" i="3"/>
  <c r="BB156" i="3"/>
  <c r="BD156" i="3"/>
  <c r="BF174" i="3"/>
  <c r="BI174" i="3" s="1"/>
  <c r="BE174" i="3"/>
  <c r="BH174" i="3" s="1"/>
  <c r="BB147" i="3"/>
  <c r="BA147" i="3"/>
  <c r="BD147" i="3"/>
  <c r="BF186" i="3"/>
  <c r="BI186" i="3" s="1"/>
  <c r="BE186" i="3"/>
  <c r="BH186" i="3" s="1"/>
  <c r="BB74" i="3"/>
  <c r="BA74" i="3"/>
  <c r="BD74" i="3"/>
  <c r="BA167" i="3"/>
  <c r="BB167" i="3"/>
  <c r="BD167" i="3"/>
  <c r="BF122" i="3"/>
  <c r="BI122" i="3" s="1"/>
  <c r="BE122" i="3"/>
  <c r="BH122" i="3" s="1"/>
  <c r="BE205" i="3"/>
  <c r="BH205" i="3" s="1"/>
  <c r="BF205" i="3"/>
  <c r="BI205" i="3" s="1"/>
  <c r="BE98" i="3"/>
  <c r="BH98" i="3" s="1"/>
  <c r="BF98" i="3"/>
  <c r="BI98" i="3" s="1"/>
  <c r="BE249" i="3"/>
  <c r="BH249" i="3" s="1"/>
  <c r="BF249" i="3"/>
  <c r="BI249" i="3" s="1"/>
  <c r="BA225" i="3"/>
  <c r="BB225" i="3"/>
  <c r="BB235" i="3"/>
  <c r="BA235" i="3"/>
  <c r="BD235" i="3"/>
  <c r="AH105" i="3"/>
  <c r="AG105" i="3"/>
  <c r="AH90" i="3"/>
  <c r="AG90" i="3"/>
  <c r="BB164" i="3"/>
  <c r="BA164" i="3"/>
  <c r="BD164" i="3"/>
  <c r="BA120" i="3"/>
  <c r="BB120" i="3"/>
  <c r="BD120" i="3"/>
  <c r="AH242" i="3"/>
  <c r="AG242" i="3"/>
  <c r="BE115" i="3"/>
  <c r="BH115" i="3" s="1"/>
  <c r="BF115" i="3"/>
  <c r="BI115" i="3" s="1"/>
  <c r="BE102" i="3"/>
  <c r="BH102" i="3" s="1"/>
  <c r="BF102" i="3"/>
  <c r="BI102" i="3" s="1"/>
  <c r="BB206" i="3"/>
  <c r="BA206" i="3"/>
  <c r="BD206" i="3"/>
  <c r="BE179" i="3"/>
  <c r="BH179" i="3" s="1"/>
  <c r="BF179" i="3"/>
  <c r="BI179" i="3" s="1"/>
  <c r="BE251" i="3"/>
  <c r="BH251" i="3" s="1"/>
  <c r="BF251" i="3"/>
  <c r="BI251" i="3" s="1"/>
  <c r="BE123" i="3"/>
  <c r="BH123" i="3" s="1"/>
  <c r="BF123" i="3"/>
  <c r="BI123" i="3" s="1"/>
  <c r="BE90" i="3"/>
  <c r="BH90" i="3" s="1"/>
  <c r="BF90" i="3"/>
  <c r="BI90" i="3" s="1"/>
  <c r="AG257" i="3"/>
  <c r="AH257" i="3"/>
  <c r="BB151" i="3"/>
  <c r="BA151" i="3"/>
  <c r="BD151" i="3"/>
  <c r="AG185" i="3"/>
  <c r="AH185" i="3"/>
  <c r="BB203" i="3"/>
  <c r="BA203" i="3"/>
  <c r="BD203" i="3"/>
  <c r="BF192" i="3"/>
  <c r="BI192" i="3" s="1"/>
  <c r="BE192" i="3"/>
  <c r="BH192" i="3" s="1"/>
  <c r="AG225" i="3"/>
  <c r="AH225" i="3"/>
  <c r="BF149" i="3"/>
  <c r="BI149" i="3" s="1"/>
  <c r="BE149" i="3"/>
  <c r="BH149" i="3" s="1"/>
  <c r="AG112" i="3"/>
  <c r="AH112" i="3"/>
  <c r="BB180" i="3"/>
  <c r="BA180" i="3"/>
  <c r="BD180" i="3"/>
  <c r="BF242" i="3"/>
  <c r="BI242" i="3" s="1"/>
  <c r="BE242" i="3"/>
  <c r="BH242" i="3" s="1"/>
  <c r="BA259" i="3"/>
  <c r="BB259" i="3"/>
  <c r="BD259" i="3"/>
  <c r="BF198" i="3"/>
  <c r="BI198" i="3" s="1"/>
  <c r="BE198" i="3"/>
  <c r="BH198" i="3" s="1"/>
  <c r="BA109" i="3"/>
  <c r="BB109" i="3"/>
  <c r="BD109" i="3"/>
  <c r="AG157" i="3"/>
  <c r="AH157" i="3"/>
  <c r="BE133" i="3"/>
  <c r="BH133" i="3" s="1"/>
  <c r="BF133" i="3"/>
  <c r="BI133" i="3" s="1"/>
  <c r="AG195" i="3"/>
  <c r="AH195" i="3"/>
  <c r="BE263" i="3"/>
  <c r="BH263" i="3" s="1"/>
  <c r="BF263" i="3"/>
  <c r="BI263" i="3" s="1"/>
  <c r="BB129" i="3"/>
  <c r="BA129" i="3"/>
  <c r="BD129" i="3"/>
  <c r="BF197" i="3"/>
  <c r="BI197" i="3" s="1"/>
  <c r="BE197" i="3"/>
  <c r="BH197" i="3" s="1"/>
  <c r="BA254" i="3"/>
  <c r="BB254" i="3"/>
  <c r="BD254" i="3"/>
  <c r="BF83" i="3"/>
  <c r="BI83" i="3" s="1"/>
  <c r="BE83" i="3"/>
  <c r="BH83" i="3" s="1"/>
  <c r="BE166" i="3"/>
  <c r="BH166" i="3" s="1"/>
  <c r="BF166" i="3"/>
  <c r="BI166" i="3" s="1"/>
  <c r="AH176" i="3"/>
  <c r="AG176" i="3"/>
  <c r="BF105" i="3"/>
  <c r="BI105" i="3" s="1"/>
  <c r="BE105" i="3"/>
  <c r="BH105" i="3" s="1"/>
  <c r="AG64" i="3"/>
  <c r="AH64" i="3"/>
  <c r="BE154" i="3"/>
  <c r="BH154" i="3" s="1"/>
  <c r="BF154" i="3"/>
  <c r="BI154" i="3" s="1"/>
  <c r="BA69" i="3"/>
  <c r="BB69" i="3"/>
  <c r="BD69" i="3"/>
  <c r="BE207" i="3"/>
  <c r="BH207" i="3" s="1"/>
  <c r="BF207" i="3"/>
  <c r="BI207" i="3" s="1"/>
  <c r="BF220" i="3"/>
  <c r="BI220" i="3" s="1"/>
  <c r="BE220" i="3"/>
  <c r="BH220" i="3" s="1"/>
  <c r="BA258" i="3"/>
  <c r="BB258" i="3"/>
  <c r="BD258" i="3"/>
  <c r="BF155" i="3"/>
  <c r="BI155" i="3" s="1"/>
  <c r="BE155" i="3"/>
  <c r="BH155" i="3" s="1"/>
  <c r="BF160" i="3"/>
  <c r="BI160" i="3" s="1"/>
  <c r="BE160" i="3"/>
  <c r="BH160" i="3" s="1"/>
  <c r="BF161" i="3"/>
  <c r="BI161" i="3" s="1"/>
  <c r="BE161" i="3"/>
  <c r="BH161" i="3" s="1"/>
  <c r="AH97" i="3"/>
  <c r="AG97" i="3"/>
  <c r="BF224" i="3"/>
  <c r="BI224" i="3" s="1"/>
  <c r="BE224" i="3"/>
  <c r="BH224" i="3" s="1"/>
  <c r="BE217" i="3"/>
  <c r="BH217" i="3" s="1"/>
  <c r="BF217" i="3"/>
  <c r="BI217" i="3" s="1"/>
  <c r="BA226" i="3"/>
  <c r="BB226" i="3"/>
  <c r="BD226" i="3"/>
  <c r="AG221" i="3"/>
  <c r="AH221" i="3"/>
  <c r="BB106" i="3"/>
  <c r="BA106" i="3"/>
  <c r="BD106" i="3"/>
  <c r="AH96" i="3"/>
  <c r="AG96" i="3"/>
  <c r="BA75" i="3"/>
  <c r="BB75" i="3"/>
  <c r="BD75" i="3"/>
  <c r="BF225" i="3"/>
  <c r="BI225" i="3" s="1"/>
  <c r="BE225" i="3"/>
  <c r="BH225" i="3" s="1"/>
  <c r="BF193" i="3"/>
  <c r="BI193" i="3" s="1"/>
  <c r="BE193" i="3"/>
  <c r="BH193" i="3" s="1"/>
  <c r="AH102" i="3"/>
  <c r="AG102" i="3"/>
  <c r="AH197" i="3"/>
  <c r="AG197" i="3"/>
  <c r="BB65" i="3" l="1"/>
  <c r="BD65" i="3"/>
  <c r="BF65" i="3" s="1"/>
  <c r="BI65" i="3" s="1"/>
  <c r="BE68" i="3"/>
  <c r="BH68" i="3" s="1"/>
  <c r="BF214" i="3"/>
  <c r="BI214" i="3" s="1"/>
  <c r="AH68" i="3"/>
  <c r="BB68" i="3"/>
  <c r="BA68" i="3"/>
  <c r="AH65" i="3"/>
  <c r="BE97" i="3"/>
  <c r="BH97" i="3" s="1"/>
  <c r="BF176" i="3"/>
  <c r="BI176" i="3" s="1"/>
  <c r="BE99" i="3"/>
  <c r="BH99" i="3" s="1"/>
  <c r="BE232" i="3"/>
  <c r="BH232" i="3" s="1"/>
  <c r="BE82" i="3"/>
  <c r="BH82" i="3" s="1"/>
  <c r="BF200" i="3"/>
  <c r="BI200" i="3" s="1"/>
  <c r="BF195" i="3"/>
  <c r="BI195" i="3" s="1"/>
  <c r="BF201" i="3"/>
  <c r="BI201" i="3" s="1"/>
  <c r="BE136" i="3"/>
  <c r="BH136" i="3" s="1"/>
  <c r="BE228" i="3"/>
  <c r="BH228" i="3" s="1"/>
  <c r="BE257" i="3"/>
  <c r="BH257" i="3" s="1"/>
  <c r="BF229" i="3"/>
  <c r="BI229" i="3" s="1"/>
  <c r="BF139" i="3"/>
  <c r="BI139" i="3" s="1"/>
  <c r="BE103" i="3"/>
  <c r="BH103" i="3" s="1"/>
  <c r="BF119" i="3"/>
  <c r="BI119" i="3" s="1"/>
  <c r="BF100" i="3"/>
  <c r="BI100" i="3" s="1"/>
  <c r="BF255" i="3"/>
  <c r="BI255" i="3" s="1"/>
  <c r="BF240" i="3"/>
  <c r="BI240" i="3" s="1"/>
  <c r="BF101" i="3"/>
  <c r="BI101" i="3" s="1"/>
  <c r="BF157" i="3"/>
  <c r="BI157" i="3" s="1"/>
  <c r="BF215" i="3"/>
  <c r="BI215" i="3" s="1"/>
  <c r="BF152" i="3"/>
  <c r="BI152" i="3" s="1"/>
  <c r="BE222" i="3"/>
  <c r="BH222" i="3" s="1"/>
  <c r="BF104" i="3"/>
  <c r="BI104" i="3" s="1"/>
  <c r="BF92" i="3"/>
  <c r="BI92" i="3" s="1"/>
  <c r="BF187" i="3"/>
  <c r="BI187" i="3" s="1"/>
  <c r="BF231" i="3"/>
  <c r="BI231" i="3" s="1"/>
  <c r="BE145" i="3"/>
  <c r="BH145" i="3" s="1"/>
  <c r="BE80" i="3"/>
  <c r="BH80" i="3" s="1"/>
  <c r="BF96" i="3"/>
  <c r="BI96" i="3" s="1"/>
  <c r="BF87" i="3"/>
  <c r="BI87" i="3" s="1"/>
  <c r="BE219" i="3"/>
  <c r="BH219" i="3" s="1"/>
  <c r="BE77" i="3"/>
  <c r="BH77" i="3" s="1"/>
  <c r="BF181" i="3"/>
  <c r="BI181" i="3" s="1"/>
  <c r="BF94" i="3"/>
  <c r="BI94" i="3" s="1"/>
  <c r="BF239" i="3"/>
  <c r="BI239" i="3" s="1"/>
  <c r="BF89" i="3"/>
  <c r="BI89" i="3" s="1"/>
  <c r="BF256" i="3"/>
  <c r="BI256" i="3" s="1"/>
  <c r="BF113" i="3"/>
  <c r="BI113" i="3" s="1"/>
  <c r="BF244" i="3"/>
  <c r="BI244" i="3" s="1"/>
  <c r="BE76" i="3"/>
  <c r="BH76" i="3" s="1"/>
  <c r="BE204" i="3"/>
  <c r="BH204" i="3" s="1"/>
  <c r="BF185" i="3"/>
  <c r="BI185" i="3" s="1"/>
  <c r="BF221" i="3"/>
  <c r="BI221" i="3" s="1"/>
  <c r="BE211" i="3"/>
  <c r="BH211" i="3" s="1"/>
  <c r="BF72" i="3"/>
  <c r="BI72" i="3" s="1"/>
  <c r="BF243" i="3"/>
  <c r="BI243" i="3" s="1"/>
  <c r="BE93" i="3"/>
  <c r="BH93" i="3" s="1"/>
  <c r="BF107" i="3"/>
  <c r="BI107" i="3" s="1"/>
  <c r="BE112" i="3"/>
  <c r="BH112" i="3" s="1"/>
  <c r="BE260" i="3"/>
  <c r="BH260" i="3" s="1"/>
  <c r="BE172" i="3"/>
  <c r="BH172" i="3" s="1"/>
  <c r="BF227" i="3"/>
  <c r="BI227" i="3" s="1"/>
  <c r="BF189" i="3"/>
  <c r="BI189" i="3" s="1"/>
  <c r="BF182" i="3"/>
  <c r="BI182" i="3" s="1"/>
  <c r="BE218" i="3"/>
  <c r="BH218" i="3" s="1"/>
  <c r="BE144" i="3"/>
  <c r="BH144" i="3" s="1"/>
  <c r="BF114" i="3"/>
  <c r="BI114" i="3" s="1"/>
  <c r="BE236" i="3"/>
  <c r="BH236" i="3" s="1"/>
  <c r="BE202" i="3"/>
  <c r="BH202" i="3" s="1"/>
  <c r="BF183" i="3"/>
  <c r="BI183" i="3" s="1"/>
  <c r="BF230" i="3"/>
  <c r="BI230" i="3" s="1"/>
  <c r="BE234" i="3"/>
  <c r="BH234" i="3" s="1"/>
  <c r="BF78" i="3"/>
  <c r="BI78" i="3" s="1"/>
  <c r="BE212" i="3"/>
  <c r="BH212" i="3" s="1"/>
  <c r="BE210" i="3"/>
  <c r="BH210" i="3" s="1"/>
  <c r="BF95" i="3"/>
  <c r="BI95" i="3" s="1"/>
  <c r="BE95" i="3"/>
  <c r="BH95" i="3" s="1"/>
  <c r="BE203" i="3"/>
  <c r="BH203" i="3" s="1"/>
  <c r="BF203" i="3"/>
  <c r="BI203" i="3" s="1"/>
  <c r="BF75" i="3"/>
  <c r="BI75" i="3" s="1"/>
  <c r="BE75" i="3"/>
  <c r="BH75" i="3" s="1"/>
  <c r="BF226" i="3"/>
  <c r="BI226" i="3" s="1"/>
  <c r="BE226" i="3"/>
  <c r="BH226" i="3" s="1"/>
  <c r="BF258" i="3"/>
  <c r="BI258" i="3" s="1"/>
  <c r="BE258" i="3"/>
  <c r="BH258" i="3" s="1"/>
  <c r="BF254" i="3"/>
  <c r="BI254" i="3" s="1"/>
  <c r="BE254" i="3"/>
  <c r="BH254" i="3" s="1"/>
  <c r="BF109" i="3"/>
  <c r="BI109" i="3" s="1"/>
  <c r="BE109" i="3"/>
  <c r="BH109" i="3" s="1"/>
  <c r="BF180" i="3"/>
  <c r="BI180" i="3" s="1"/>
  <c r="BE180" i="3"/>
  <c r="BH180" i="3" s="1"/>
  <c r="BE235" i="3"/>
  <c r="BH235" i="3" s="1"/>
  <c r="BF235" i="3"/>
  <c r="BI235" i="3" s="1"/>
  <c r="BE74" i="3"/>
  <c r="BH74" i="3" s="1"/>
  <c r="BF74" i="3"/>
  <c r="BI74" i="3" s="1"/>
  <c r="BE237" i="3"/>
  <c r="BH237" i="3" s="1"/>
  <c r="BF237" i="3"/>
  <c r="BI237" i="3" s="1"/>
  <c r="BF259" i="3"/>
  <c r="BI259" i="3" s="1"/>
  <c r="BE259" i="3"/>
  <c r="BH259" i="3" s="1"/>
  <c r="BE131" i="3"/>
  <c r="BH131" i="3" s="1"/>
  <c r="BF131" i="3"/>
  <c r="BI131" i="3" s="1"/>
  <c r="BE106" i="3"/>
  <c r="BH106" i="3" s="1"/>
  <c r="BF106" i="3"/>
  <c r="BI106" i="3" s="1"/>
  <c r="BF151" i="3"/>
  <c r="BI151" i="3" s="1"/>
  <c r="BE151" i="3"/>
  <c r="BH151" i="3" s="1"/>
  <c r="BF120" i="3"/>
  <c r="BI120" i="3" s="1"/>
  <c r="BE120" i="3"/>
  <c r="BH120" i="3" s="1"/>
  <c r="BF156" i="3"/>
  <c r="BI156" i="3" s="1"/>
  <c r="BE156" i="3"/>
  <c r="BH156" i="3" s="1"/>
  <c r="BF69" i="3"/>
  <c r="BI69" i="3" s="1"/>
  <c r="BE69" i="3"/>
  <c r="BH69" i="3" s="1"/>
  <c r="BF147" i="3"/>
  <c r="BI147" i="3" s="1"/>
  <c r="BE147" i="3"/>
  <c r="BH147" i="3" s="1"/>
  <c r="BE129" i="3"/>
  <c r="BH129" i="3" s="1"/>
  <c r="BF129" i="3"/>
  <c r="BI129" i="3" s="1"/>
  <c r="BF206" i="3"/>
  <c r="BI206" i="3" s="1"/>
  <c r="BE206" i="3"/>
  <c r="BH206" i="3" s="1"/>
  <c r="BE164" i="3"/>
  <c r="BH164" i="3" s="1"/>
  <c r="BF164" i="3"/>
  <c r="BI164" i="3" s="1"/>
  <c r="BF167" i="3"/>
  <c r="BI167" i="3" s="1"/>
  <c r="BE167" i="3"/>
  <c r="BH167" i="3" s="1"/>
  <c r="BF143" i="3"/>
  <c r="BI143" i="3" s="1"/>
  <c r="BE143" i="3"/>
  <c r="BH143" i="3" s="1"/>
  <c r="BE65" i="3" l="1"/>
  <c r="BH65" i="3" s="1"/>
  <c r="M36" i="3"/>
  <c r="O36" i="3" s="1"/>
  <c r="M34" i="3"/>
  <c r="M35" i="3"/>
  <c r="O35" i="3" s="1"/>
</calcChain>
</file>

<file path=xl/sharedStrings.xml><?xml version="1.0" encoding="utf-8"?>
<sst xmlns="http://schemas.openxmlformats.org/spreadsheetml/2006/main" count="393" uniqueCount="280">
  <si>
    <t>Power Loss Calculation</t>
  </si>
  <si>
    <t>Switching Frequency</t>
  </si>
  <si>
    <t>kHz</t>
  </si>
  <si>
    <t>On Time</t>
  </si>
  <si>
    <t>ns</t>
  </si>
  <si>
    <t>V</t>
  </si>
  <si>
    <t>Duty Cycle</t>
  </si>
  <si>
    <t>Effective Output Resistance</t>
  </si>
  <si>
    <t>Ohm</t>
  </si>
  <si>
    <t>Output Current</t>
  </si>
  <si>
    <t>A</t>
  </si>
  <si>
    <t>Iupper,rms</t>
  </si>
  <si>
    <t>OUTPUT INDUCTOR</t>
  </si>
  <si>
    <t>Ilower,rms</t>
  </si>
  <si>
    <r>
      <t>Inductor Current Ripple Ratio (</t>
    </r>
    <r>
      <rPr>
        <b/>
        <sz val="10"/>
        <rFont val="Arial"/>
        <family val="2"/>
      </rPr>
      <t>∆</t>
    </r>
    <r>
      <rPr>
        <b/>
        <sz val="10"/>
        <rFont val="Times New Roman"/>
        <family val="1"/>
      </rPr>
      <t>I/ILOAD)</t>
    </r>
  </si>
  <si>
    <t>%</t>
  </si>
  <si>
    <t>Recommended Inductor</t>
  </si>
  <si>
    <t>uH</t>
  </si>
  <si>
    <t>Current Ripple</t>
  </si>
  <si>
    <t>Ap-p</t>
  </si>
  <si>
    <t>Output Inductor</t>
  </si>
  <si>
    <t>Switching Loss</t>
  </si>
  <si>
    <t xml:space="preserve">     DCR</t>
  </si>
  <si>
    <t>mOhm</t>
  </si>
  <si>
    <t>Upper MOSFET</t>
  </si>
  <si>
    <t>Lower MOSFET</t>
  </si>
  <si>
    <t>OUTPUT CAPACITOR</t>
  </si>
  <si>
    <t>Driver</t>
  </si>
  <si>
    <t>Number of Output Capacitor</t>
  </si>
  <si>
    <t xml:space="preserve">   Capacitance (Each)</t>
  </si>
  <si>
    <t>uF</t>
  </si>
  <si>
    <t>Ouput Cap. ESR</t>
  </si>
  <si>
    <t>Conduction Loss</t>
  </si>
  <si>
    <t xml:space="preserve">   ESR (Each)</t>
  </si>
  <si>
    <t>UPPER MOSFET</t>
  </si>
  <si>
    <t>Rds,on</t>
  </si>
  <si>
    <t>LOWER MOSFET</t>
  </si>
  <si>
    <r>
      <rPr>
        <b/>
        <sz val="10"/>
        <rFont val="Symbol"/>
        <family val="1"/>
        <charset val="2"/>
      </rPr>
      <t>°</t>
    </r>
    <r>
      <rPr>
        <b/>
        <sz val="10"/>
        <rFont val="Arial"/>
        <family val="2"/>
      </rPr>
      <t>C/Watt</t>
    </r>
  </si>
  <si>
    <r>
      <rPr>
        <b/>
        <sz val="10"/>
        <rFont val="Symbol"/>
        <family val="1"/>
        <charset val="2"/>
      </rPr>
      <t>°</t>
    </r>
    <r>
      <rPr>
        <b/>
        <sz val="10"/>
        <rFont val="Arial"/>
        <family val="2"/>
      </rPr>
      <t>C</t>
    </r>
  </si>
  <si>
    <t>Total Loss</t>
  </si>
  <si>
    <t>Watts</t>
  </si>
  <si>
    <t>Efficiency</t>
  </si>
  <si>
    <t>Power Dissipation in IC</t>
  </si>
  <si>
    <t>W</t>
  </si>
  <si>
    <t xml:space="preserve">   Rds,on</t>
  </si>
  <si>
    <t xml:space="preserve">   Vd</t>
  </si>
  <si>
    <t xml:space="preserve">   Qrr</t>
  </si>
  <si>
    <t>nC</t>
  </si>
  <si>
    <t xml:space="preserve">   Qg</t>
  </si>
  <si>
    <t xml:space="preserve">   Cgs</t>
  </si>
  <si>
    <t>nF</t>
  </si>
  <si>
    <t>Rdson*Cgs</t>
  </si>
  <si>
    <t>mOhm*nF</t>
  </si>
  <si>
    <t xml:space="preserve">   Coss</t>
  </si>
  <si>
    <t>Rdson*Coss</t>
  </si>
  <si>
    <t xml:space="preserve">   Tr</t>
  </si>
  <si>
    <t>Switching time of upper MOSFET from OFF to ON</t>
  </si>
  <si>
    <t xml:space="preserve">   Tf</t>
  </si>
  <si>
    <t>Switching time of upper MOSFET from ON to OFF</t>
  </si>
  <si>
    <t xml:space="preserve">   n</t>
  </si>
  <si>
    <t>Number of upper MOSFETs</t>
  </si>
  <si>
    <t xml:space="preserve">   Pcon</t>
  </si>
  <si>
    <t>Upper MOSFETs conduction loss = (Irms.upper)^2*Rds/n</t>
  </si>
  <si>
    <t xml:space="preserve">   Psw_on</t>
  </si>
  <si>
    <t>Upper MOSFETs turn-ON switching loss = Vin*(Iout-Irip/2)*Tr*Fsw/2</t>
  </si>
  <si>
    <t xml:space="preserve">   Psw_off</t>
  </si>
  <si>
    <t>Upper MOSFETs turn-OFF switching loss = Vin*(Iout+Irip/2)*Tf*Fsw/2</t>
  </si>
  <si>
    <t xml:space="preserve">   Pdiode</t>
  </si>
  <si>
    <t>Upper MOSFET diode reverse recovery loss = n*Vin*Fsw*Qrr</t>
  </si>
  <si>
    <t xml:space="preserve">   Pcap</t>
  </si>
  <si>
    <t>MOSFET output capacitance loss  = n*Coss*(Vin)^2*Fsw/2</t>
  </si>
  <si>
    <t xml:space="preserve">   Pupper</t>
  </si>
  <si>
    <t>Total upper MOSFETs Power loss</t>
  </si>
  <si>
    <t xml:space="preserve">   Td_on</t>
  </si>
  <si>
    <t>Dead time for UGATE OFF to LGATE ON</t>
  </si>
  <si>
    <t xml:space="preserve">   Td_off</t>
  </si>
  <si>
    <t>Dead time for LGATE ON to UGATE OFF</t>
  </si>
  <si>
    <t>Number of lower MOSFETs</t>
  </si>
  <si>
    <t>Lower MOSFET conduction loss = (Irms.lower)^2*Rds/n</t>
  </si>
  <si>
    <t>Body diode conduction loss = Vd*Fsw*[ (Iout+Irip/2) * Td1+ (Iout-Irip/2) * Td2]</t>
  </si>
  <si>
    <t xml:space="preserve">   Pdiode_QRR</t>
  </si>
  <si>
    <t xml:space="preserve">   Plower</t>
  </si>
  <si>
    <t>Total lower MOSFETs Power loss</t>
  </si>
  <si>
    <t>DRIVER POWER LOSS</t>
  </si>
  <si>
    <t>Vgs,u</t>
  </si>
  <si>
    <t>Vgs,l</t>
  </si>
  <si>
    <t>Iq</t>
  </si>
  <si>
    <t>mA</t>
  </si>
  <si>
    <t>Quiescent Current</t>
  </si>
  <si>
    <t>Pdr,up</t>
  </si>
  <si>
    <t>Upper MOSFET driver loss = n*Vgs1*Fsw*Qg.up</t>
  </si>
  <si>
    <t>Pdr,low</t>
  </si>
  <si>
    <t>Lower MOSFET driver loss = n*Vgs2*Fsw*Qg.low</t>
  </si>
  <si>
    <t>LDO</t>
  </si>
  <si>
    <t>LDO Loss = (Vin-V_LDO)*Iq</t>
  </si>
  <si>
    <t>Pdriver</t>
  </si>
  <si>
    <t>Total driver power loss</t>
  </si>
  <si>
    <t>OUTPUT INDUCTOR LOSS</t>
  </si>
  <si>
    <t>Pcore</t>
  </si>
  <si>
    <t>Inductor core loss</t>
  </si>
  <si>
    <t>Pcon</t>
  </si>
  <si>
    <t>Inductor conduction loss = (Irms)^2*DCR</t>
  </si>
  <si>
    <t>Pind</t>
  </si>
  <si>
    <t>Total inductor loss</t>
  </si>
  <si>
    <t>OUTPUT CAPACITOR LOSS</t>
  </si>
  <si>
    <t>Pesr</t>
  </si>
  <si>
    <t>ESR Conduction Loss</t>
  </si>
  <si>
    <t>PWM Efficiency Summary</t>
  </si>
  <si>
    <t>Min Current</t>
  </si>
  <si>
    <t>Max Current</t>
  </si>
  <si>
    <t xml:space="preserve">Total Power Loss </t>
  </si>
  <si>
    <t>Losses in Upper MOSFET</t>
  </si>
  <si>
    <t>Losses in Lower MOSFET</t>
  </si>
  <si>
    <t>Driver Loss</t>
  </si>
  <si>
    <t>Inductor Loss</t>
  </si>
  <si>
    <t>Capactor Loss</t>
  </si>
  <si>
    <t>D</t>
  </si>
  <si>
    <t>Irip</t>
  </si>
  <si>
    <t>Iup,rms</t>
  </si>
  <si>
    <t>Ilos,rms</t>
  </si>
  <si>
    <t>V_ls_diode</t>
  </si>
  <si>
    <t>Dead Time</t>
  </si>
  <si>
    <t>nsec</t>
  </si>
  <si>
    <t>uA</t>
  </si>
  <si>
    <t>On time pulse</t>
  </si>
  <si>
    <t>Off time pulse</t>
  </si>
  <si>
    <t>Hz</t>
  </si>
  <si>
    <t>f1=1/(dt1+dt2)</t>
  </si>
  <si>
    <t>f2=2*Iout(I_PFM_pk/2 -Iout)/((Vout_upper-Vout)*Cout*I_PFM_pk)</t>
  </si>
  <si>
    <t>Inductor conduction loss</t>
  </si>
  <si>
    <t>P_hs_cond</t>
  </si>
  <si>
    <t>P_hs_cond=Rdson_hs*2*Iout*T_PFM_pk*Vout/(3*Vin)</t>
  </si>
  <si>
    <t>P_hs_turn_off</t>
  </si>
  <si>
    <t>P_hs_turn_off is the ac loss = 2*Cgsp*Vin^2*Iout(Vout*(Vin-Vout)/(I_PFM_pk*L*)*tf</t>
  </si>
  <si>
    <t>P_hs_gate_drive</t>
  </si>
  <si>
    <t>P_hs_gate_drive is the gate driver loss = Cgshs*Vgs^2*2*Iout*Vout*(Vin-Vout)/(I_PFM_pk^2*L*Vdr)</t>
  </si>
  <si>
    <t>N_ls_cond</t>
  </si>
  <si>
    <t>N_ls_cond=Rdson_ls*2*Iout*I_PFM_pk*(Vin-Vout)/(3*Vin)</t>
  </si>
  <si>
    <t>N_ls_gate_drive</t>
  </si>
  <si>
    <t>N_ls_gate_drive is the gate driver loss = Cgshs*Vgs^2*2*Iout*Vout*(Vin-Vout)/(I_PFM_pk^2*L*Vdr)</t>
  </si>
  <si>
    <t>D_ls_diode</t>
  </si>
  <si>
    <t>N_ls_diode=V_ls_diode*Dead_time*2*Iout*Vout*(Vin-Vout)/(I_PFM_pk^2*Lout*Vin)</t>
  </si>
  <si>
    <t>Cout_esr</t>
  </si>
  <si>
    <t>Cout_esr=Resr*Iout*I_PFM_pk/6</t>
  </si>
  <si>
    <t>P_iq</t>
  </si>
  <si>
    <t>Quiescent Power Loss=Iq*Vin</t>
  </si>
  <si>
    <t xml:space="preserve">Compensator Design - Type 2  </t>
  </si>
  <si>
    <t>Note: In order for the Compensation Design to work, need to have the Analysis Tool Pack active.</t>
  </si>
  <si>
    <t xml:space="preserve">See Below For Graphical Represenatation of Ti(s), Tv(s), T(s), Rfb1, Rfb2, Cfb1, R1, C1, C2 </t>
  </si>
  <si>
    <t xml:space="preserve">1. Go to File, then Option. </t>
  </si>
  <si>
    <t>Transfer Function</t>
  </si>
  <si>
    <t>Controller</t>
  </si>
  <si>
    <t xml:space="preserve">2. Select Add-Ins. </t>
  </si>
  <si>
    <r>
      <t>Tran-resistance, R</t>
    </r>
    <r>
      <rPr>
        <vertAlign val="subscript"/>
        <sz val="10"/>
        <rFont val="Arial"/>
        <family val="2"/>
      </rPr>
      <t>T</t>
    </r>
  </si>
  <si>
    <t>3. If Analysis-ToolPak if it is inactive. Then use the manage menu.</t>
  </si>
  <si>
    <r>
      <t>Slope Compensation, S</t>
    </r>
    <r>
      <rPr>
        <vertAlign val="subscript"/>
        <sz val="10"/>
        <rFont val="Arial"/>
        <family val="2"/>
      </rPr>
      <t>E (without Fs)</t>
    </r>
  </si>
  <si>
    <t>Current Sense, Sn</t>
  </si>
  <si>
    <t>A/s</t>
  </si>
  <si>
    <t>4. Select Excel Add-ins and click Go.</t>
  </si>
  <si>
    <r>
      <t>Total Control Slope, m</t>
    </r>
    <r>
      <rPr>
        <vertAlign val="subscript"/>
        <sz val="10"/>
        <rFont val="Arial"/>
        <family val="2"/>
      </rPr>
      <t>c</t>
    </r>
  </si>
  <si>
    <t>5. Check Analysis-ToolPak and click OK.</t>
  </si>
  <si>
    <t>ωo</t>
  </si>
  <si>
    <t>Error Amp Output Resistance, Roerr</t>
  </si>
  <si>
    <t>ohm</t>
  </si>
  <si>
    <t>Fesr</t>
  </si>
  <si>
    <t>Feedback Voltage, VFB</t>
  </si>
  <si>
    <t>Fz</t>
  </si>
  <si>
    <t>Transconductance, gm</t>
  </si>
  <si>
    <t>S</t>
  </si>
  <si>
    <t>Q</t>
  </si>
  <si>
    <t>Caculated Values</t>
  </si>
  <si>
    <t>Selected Values</t>
  </si>
  <si>
    <t>Fs</t>
  </si>
  <si>
    <t>Desired Fc</t>
  </si>
  <si>
    <t>of Fs = Fc</t>
  </si>
  <si>
    <t>Resistive Divider</t>
  </si>
  <si>
    <t>F</t>
  </si>
  <si>
    <t>User Selects R1</t>
  </si>
  <si>
    <t>User Selects R2</t>
  </si>
  <si>
    <t>Fz1</t>
  </si>
  <si>
    <t>Fp2</t>
  </si>
  <si>
    <t>User Selects Cfb2</t>
  </si>
  <si>
    <t>Bandwidth</t>
  </si>
  <si>
    <t>Phase margin</t>
  </si>
  <si>
    <t>degree</t>
  </si>
  <si>
    <t>Sampling Transfer Functions</t>
  </si>
  <si>
    <t>wn</t>
  </si>
  <si>
    <t>Qn</t>
  </si>
  <si>
    <t>Fm</t>
  </si>
  <si>
    <t>Fstart</t>
  </si>
  <si>
    <t>Fstop</t>
  </si>
  <si>
    <t>Fstep</t>
  </si>
  <si>
    <t>Step</t>
  </si>
  <si>
    <t>Calculations for the Sampling Transfer function</t>
  </si>
  <si>
    <t>Current Loop Gain</t>
  </si>
  <si>
    <t>Open Loop Voltage Gain</t>
  </si>
  <si>
    <t>Total Loop Gain</t>
  </si>
  <si>
    <t>Voltage Divider Gain</t>
  </si>
  <si>
    <t>Gain of Internal Compensation</t>
  </si>
  <si>
    <t>Open Loop to Inductor Current Transfer function</t>
  </si>
  <si>
    <t>Open Loop duty Cycle to Output Voltage Transfer Function</t>
  </si>
  <si>
    <t>Fm*Rt*Fdi(S)*He(S)</t>
  </si>
  <si>
    <t>Fm*Fdv(S)</t>
  </si>
  <si>
    <t>TV(S)/1+Ti(S)</t>
  </si>
  <si>
    <t>Compensator</t>
  </si>
  <si>
    <t>Voltage loop with compensation</t>
  </si>
  <si>
    <t>Closed Loop with Compensation</t>
  </si>
  <si>
    <t>To Find the Bandwidth</t>
  </si>
  <si>
    <t>S = j*2*pi*F</t>
  </si>
  <si>
    <t>Real He(s)</t>
  </si>
  <si>
    <t>Imag He(S)</t>
  </si>
  <si>
    <t>Complex He(S)</t>
  </si>
  <si>
    <t>Gain He(S)</t>
  </si>
  <si>
    <t>Phase He(S)</t>
  </si>
  <si>
    <t>Gain</t>
  </si>
  <si>
    <t>Upper Complex</t>
  </si>
  <si>
    <t>Lower Complex</t>
  </si>
  <si>
    <t>Fdi(S)</t>
  </si>
  <si>
    <t>lower Same as inductor</t>
  </si>
  <si>
    <t>Fdv(S)</t>
  </si>
  <si>
    <t>Ti(s)</t>
  </si>
  <si>
    <t>Phase</t>
  </si>
  <si>
    <t>Tv(S)</t>
  </si>
  <si>
    <t>T(S)</t>
  </si>
  <si>
    <t>gain</t>
  </si>
  <si>
    <t>phase</t>
  </si>
  <si>
    <t>Z1(S)</t>
  </si>
  <si>
    <t>Z2(S)</t>
  </si>
  <si>
    <t>2nd gm pole</t>
  </si>
  <si>
    <t>2nd gm pole//Cp1</t>
  </si>
  <si>
    <t>2 poles contribution</t>
  </si>
  <si>
    <t>Voltage Gain Denominator</t>
  </si>
  <si>
    <t>K(S)</t>
  </si>
  <si>
    <t>top</t>
  </si>
  <si>
    <t>bottom</t>
  </si>
  <si>
    <t>A(S)</t>
  </si>
  <si>
    <t>K(S)*A(S)</t>
  </si>
  <si>
    <t>mag</t>
  </si>
  <si>
    <t>Tv(s)c</t>
  </si>
  <si>
    <t>T(s)</t>
  </si>
  <si>
    <t>1-gain</t>
  </si>
  <si>
    <t>-Phase</t>
  </si>
  <si>
    <t>Gain margin</t>
  </si>
  <si>
    <t>Lower MOSFET diode reverse recovery loss = n*Vin*Fsw*Qrr/2</t>
  </si>
  <si>
    <t>C5</t>
  </si>
  <si>
    <t>C6</t>
  </si>
  <si>
    <t>Output Voltage Ripple</t>
  </si>
  <si>
    <t>dB</t>
  </si>
  <si>
    <t>mVp-p</t>
  </si>
  <si>
    <t>Program UVLO:</t>
  </si>
  <si>
    <r>
      <t>V</t>
    </r>
    <r>
      <rPr>
        <b/>
        <vertAlign val="subscript"/>
        <sz val="10"/>
        <rFont val="Arial"/>
        <family val="2"/>
      </rPr>
      <t>ON</t>
    </r>
  </si>
  <si>
    <t>kOhm</t>
  </si>
  <si>
    <r>
      <t>V</t>
    </r>
    <r>
      <rPr>
        <b/>
        <vertAlign val="subscript"/>
        <sz val="10"/>
        <rFont val="Arial"/>
        <family val="2"/>
      </rPr>
      <t>OFF</t>
    </r>
  </si>
  <si>
    <t>Version 2.0</t>
  </si>
  <si>
    <t>R5</t>
  </si>
  <si>
    <t>Part Number</t>
  </si>
  <si>
    <t>Internal</t>
  </si>
  <si>
    <t>External</t>
  </si>
  <si>
    <t>Time shift</t>
  </si>
  <si>
    <t>Frequency</t>
  </si>
  <si>
    <t>Energy Current</t>
  </si>
  <si>
    <t>DCM-CCM Boundary</t>
  </si>
  <si>
    <r>
      <t xml:space="preserve">Thermal Resistance, </t>
    </r>
    <r>
      <rPr>
        <b/>
        <sz val="10"/>
        <rFont val="Calibri"/>
        <family val="2"/>
      </rPr>
      <t>θja</t>
    </r>
  </si>
  <si>
    <r>
      <t>Ambient Temperature, T</t>
    </r>
    <r>
      <rPr>
        <b/>
        <vertAlign val="subscript"/>
        <sz val="10"/>
        <rFont val="Arial"/>
        <family val="2"/>
      </rPr>
      <t>A</t>
    </r>
  </si>
  <si>
    <t>RT</t>
  </si>
  <si>
    <t>User Selects C4</t>
  </si>
  <si>
    <t>R3</t>
  </si>
  <si>
    <t>R4</t>
  </si>
  <si>
    <t>6. Go to File, then Option.</t>
  </si>
  <si>
    <t>7. Select Advance.</t>
  </si>
  <si>
    <t>8. Unselect Use System separator</t>
  </si>
  <si>
    <t>9. Change to local Decimal/Thousand separator to "." or ","</t>
  </si>
  <si>
    <t>10. Click OK.</t>
  </si>
  <si>
    <t>AP64351</t>
  </si>
  <si>
    <t>AP64351Q</t>
  </si>
  <si>
    <t>AP64501</t>
  </si>
  <si>
    <t>AP64501Q</t>
  </si>
  <si>
    <r>
      <t>T</t>
    </r>
    <r>
      <rPr>
        <b/>
        <vertAlign val="subscript"/>
        <sz val="10"/>
        <rFont val="Arial"/>
        <family val="2"/>
      </rPr>
      <t>ss</t>
    </r>
  </si>
  <si>
    <r>
      <t>C</t>
    </r>
    <r>
      <rPr>
        <b/>
        <vertAlign val="subscript"/>
        <sz val="10"/>
        <rFont val="Arial"/>
        <family val="2"/>
      </rPr>
      <t>SS</t>
    </r>
  </si>
  <si>
    <r>
      <t>Junction Temperature, T</t>
    </r>
    <r>
      <rPr>
        <b/>
        <vertAlign val="subscript"/>
        <sz val="10"/>
        <rFont val="Arial"/>
        <family val="2"/>
      </rPr>
      <t>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</si>
</sst>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E+00"/>
    <numFmt numFmtId="167" formatCode="#,##0.0"/>
    <numFmt numFmtId="168" formatCode="#,##0.000"/>
    <numFmt numFmtId="169" formatCode="0.0E+00"/>
    <numFmt numFmtId="170" formatCode="0.0000E+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i/>
      <u/>
      <sz val="10"/>
      <name val="Arial"/>
      <family val="2"/>
    </font>
    <font>
      <b/>
      <sz val="10"/>
      <name val="Times New Roman"/>
      <family val="1"/>
    </font>
    <font>
      <b/>
      <sz val="10"/>
      <color theme="0"/>
      <name val="Arial"/>
      <family val="2"/>
    </font>
    <font>
      <b/>
      <sz val="10"/>
      <name val="Symbol"/>
      <family val="1"/>
      <charset val="2"/>
    </font>
    <font>
      <b/>
      <i/>
      <u/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charset val="134"/>
      <scheme val="minor"/>
    </font>
    <font>
      <b/>
      <sz val="12"/>
      <color indexed="9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9"/>
      <name val="Arial"/>
      <family val="2"/>
    </font>
    <font>
      <vertAlign val="subscript"/>
      <sz val="10"/>
      <name val="Arial"/>
      <family val="2"/>
    </font>
    <font>
      <sz val="10"/>
      <color indexed="63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00B0F0"/>
      <name val="Calibri"/>
      <family val="2"/>
      <scheme val="minor"/>
    </font>
    <font>
      <sz val="11"/>
      <color rgb="FFFFFF66"/>
      <name val="Calibri"/>
      <family val="2"/>
      <scheme val="minor"/>
    </font>
    <font>
      <b/>
      <u/>
      <sz val="10"/>
      <name val="Arial"/>
      <family val="2"/>
    </font>
    <font>
      <b/>
      <vertAlign val="subscript"/>
      <sz val="10"/>
      <name val="Arial"/>
      <family val="2"/>
    </font>
    <font>
      <b/>
      <sz val="16"/>
      <color rgb="FF0070C0"/>
      <name val="Calibri"/>
      <family val="2"/>
      <scheme val="minor"/>
    </font>
    <font>
      <b/>
      <sz val="10"/>
      <name val="Calibri"/>
      <family val="2"/>
    </font>
    <font>
      <b/>
      <sz val="1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i/>
      <u/>
      <sz val="10"/>
      <color theme="0"/>
      <name val="Arial"/>
      <family val="2"/>
    </font>
    <font>
      <b/>
      <i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5" fillId="0" borderId="0">
      <alignment vertical="center"/>
    </xf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3" borderId="0" xfId="0" applyFont="1" applyFill="1" applyProtection="1">
      <protection locked="0"/>
    </xf>
    <xf numFmtId="0" fontId="2" fillId="4" borderId="0" xfId="0" applyFont="1" applyFill="1"/>
    <xf numFmtId="1" fontId="2" fillId="5" borderId="0" xfId="0" applyNumberFormat="1" applyFont="1" applyFill="1"/>
    <xf numFmtId="164" fontId="2" fillId="3" borderId="0" xfId="0" applyNumberFormat="1" applyFont="1" applyFill="1" applyProtection="1">
      <protection locked="0"/>
    </xf>
    <xf numFmtId="2" fontId="2" fillId="5" borderId="0" xfId="0" applyNumberFormat="1" applyFont="1" applyFill="1"/>
    <xf numFmtId="0" fontId="5" fillId="2" borderId="0" xfId="0" applyFont="1" applyFill="1"/>
    <xf numFmtId="164" fontId="2" fillId="5" borderId="0" xfId="0" applyNumberFormat="1" applyFont="1" applyFill="1"/>
    <xf numFmtId="2" fontId="2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7" fillId="4" borderId="0" xfId="0" applyFont="1" applyFill="1"/>
    <xf numFmtId="0" fontId="8" fillId="2" borderId="0" xfId="0" applyFont="1" applyFill="1" applyProtection="1">
      <protection hidden="1"/>
    </xf>
    <xf numFmtId="0" fontId="8" fillId="2" borderId="0" xfId="0" applyFont="1" applyFill="1"/>
    <xf numFmtId="0" fontId="2" fillId="2" borderId="0" xfId="0" quotePrefix="1" applyFont="1" applyFill="1"/>
    <xf numFmtId="165" fontId="8" fillId="2" borderId="0" xfId="0" applyNumberFormat="1" applyFont="1" applyFill="1" applyProtection="1">
      <protection hidden="1"/>
    </xf>
    <xf numFmtId="1" fontId="2" fillId="2" borderId="0" xfId="0" applyNumberFormat="1" applyFont="1" applyFill="1"/>
    <xf numFmtId="0" fontId="2" fillId="2" borderId="0" xfId="2" applyFont="1" applyFill="1"/>
    <xf numFmtId="0" fontId="2" fillId="4" borderId="0" xfId="2" applyFont="1" applyFill="1"/>
    <xf numFmtId="0" fontId="10" fillId="2" borderId="0" xfId="0" applyFont="1" applyFill="1"/>
    <xf numFmtId="0" fontId="11" fillId="4" borderId="0" xfId="0" applyFont="1" applyFill="1"/>
    <xf numFmtId="164" fontId="2" fillId="5" borderId="0" xfId="2" applyNumberFormat="1" applyFont="1" applyFill="1"/>
    <xf numFmtId="165" fontId="2" fillId="6" borderId="0" xfId="0" applyNumberFormat="1" applyFont="1" applyFill="1"/>
    <xf numFmtId="0" fontId="2" fillId="7" borderId="0" xfId="0" applyFont="1" applyFill="1"/>
    <xf numFmtId="1" fontId="2" fillId="2" borderId="1" xfId="0" applyNumberFormat="1" applyFont="1" applyFill="1" applyBorder="1"/>
    <xf numFmtId="0" fontId="12" fillId="2" borderId="0" xfId="0" applyFont="1" applyFill="1"/>
    <xf numFmtId="0" fontId="12" fillId="2" borderId="0" xfId="0" applyFont="1" applyFill="1" applyProtection="1">
      <protection hidden="1"/>
    </xf>
    <xf numFmtId="0" fontId="8" fillId="2" borderId="0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165" fontId="4" fillId="2" borderId="0" xfId="0" applyNumberFormat="1" applyFont="1" applyFill="1"/>
    <xf numFmtId="0" fontId="2" fillId="2" borderId="0" xfId="0" applyFont="1" applyFill="1" applyBorder="1"/>
    <xf numFmtId="0" fontId="13" fillId="2" borderId="0" xfId="0" applyFont="1" applyFill="1"/>
    <xf numFmtId="0" fontId="14" fillId="2" borderId="0" xfId="0" applyFont="1" applyFill="1"/>
    <xf numFmtId="0" fontId="12" fillId="2" borderId="0" xfId="0" applyFont="1" applyFill="1" applyBorder="1"/>
    <xf numFmtId="0" fontId="4" fillId="2" borderId="0" xfId="0" applyFont="1" applyFill="1" applyBorder="1"/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0" fillId="2" borderId="0" xfId="0" applyFill="1"/>
    <xf numFmtId="11" fontId="15" fillId="0" borderId="0" xfId="3" applyNumberFormat="1">
      <alignment vertical="center"/>
    </xf>
    <xf numFmtId="0" fontId="0" fillId="2" borderId="2" xfId="0" applyFill="1" applyBorder="1"/>
    <xf numFmtId="0" fontId="0" fillId="2" borderId="0" xfId="0" applyFill="1" applyBorder="1"/>
    <xf numFmtId="0" fontId="0" fillId="2" borderId="6" xfId="0" applyFill="1" applyBorder="1"/>
    <xf numFmtId="0" fontId="0" fillId="5" borderId="2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2" borderId="10" xfId="0" applyFill="1" applyBorder="1"/>
    <xf numFmtId="0" fontId="0" fillId="5" borderId="9" xfId="0" applyFill="1" applyBorder="1"/>
    <xf numFmtId="11" fontId="0" fillId="5" borderId="10" xfId="0" applyNumberFormat="1" applyFill="1" applyBorder="1"/>
    <xf numFmtId="0" fontId="0" fillId="4" borderId="10" xfId="0" applyFill="1" applyBorder="1"/>
    <xf numFmtId="0" fontId="0" fillId="2" borderId="11" xfId="0" applyFill="1" applyBorder="1"/>
    <xf numFmtId="0" fontId="0" fillId="5" borderId="6" xfId="0" applyFill="1" applyBorder="1"/>
    <xf numFmtId="1" fontId="0" fillId="5" borderId="11" xfId="0" applyNumberFormat="1" applyFill="1" applyBorder="1"/>
    <xf numFmtId="0" fontId="0" fillId="4" borderId="11" xfId="0" applyFill="1" applyBorder="1"/>
    <xf numFmtId="0" fontId="0" fillId="5" borderId="12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1" fontId="0" fillId="3" borderId="13" xfId="0" applyNumberFormat="1" applyFill="1" applyBorder="1" applyProtection="1">
      <protection locked="0"/>
    </xf>
    <xf numFmtId="165" fontId="0" fillId="5" borderId="11" xfId="0" applyNumberFormat="1" applyFill="1" applyBorder="1"/>
    <xf numFmtId="0" fontId="0" fillId="2" borderId="13" xfId="0" applyFill="1" applyBorder="1"/>
    <xf numFmtId="0" fontId="0" fillId="5" borderId="14" xfId="0" applyFill="1" applyBorder="1"/>
    <xf numFmtId="11" fontId="0" fillId="5" borderId="13" xfId="0" applyNumberFormat="1" applyFill="1" applyBorder="1"/>
    <xf numFmtId="0" fontId="0" fillId="4" borderId="13" xfId="0" applyFill="1" applyBorder="1"/>
    <xf numFmtId="0" fontId="20" fillId="2" borderId="2" xfId="0" applyFont="1" applyFill="1" applyBorder="1" applyProtection="1"/>
    <xf numFmtId="0" fontId="20" fillId="0" borderId="10" xfId="0" applyFont="1" applyBorder="1" applyProtection="1"/>
    <xf numFmtId="0" fontId="20" fillId="4" borderId="10" xfId="0" applyFont="1" applyFill="1" applyBorder="1" applyProtection="1"/>
    <xf numFmtId="11" fontId="21" fillId="5" borderId="0" xfId="0" applyNumberFormat="1" applyFont="1" applyFill="1" applyBorder="1"/>
    <xf numFmtId="0" fontId="20" fillId="4" borderId="11" xfId="0" applyFont="1" applyFill="1" applyBorder="1" applyProtection="1"/>
    <xf numFmtId="166" fontId="21" fillId="5" borderId="0" xfId="0" applyNumberFormat="1" applyFont="1" applyFill="1" applyBorder="1"/>
    <xf numFmtId="0" fontId="0" fillId="5" borderId="10" xfId="0" applyNumberFormat="1" applyFill="1" applyBorder="1" applyProtection="1"/>
    <xf numFmtId="0" fontId="0" fillId="4" borderId="7" xfId="0" applyFill="1" applyBorder="1"/>
    <xf numFmtId="0" fontId="0" fillId="5" borderId="15" xfId="0" applyFill="1" applyBorder="1"/>
    <xf numFmtId="0" fontId="0" fillId="4" borderId="12" xfId="0" applyFill="1" applyBorder="1"/>
    <xf numFmtId="0" fontId="0" fillId="2" borderId="14" xfId="0" applyFill="1" applyBorder="1"/>
    <xf numFmtId="0" fontId="0" fillId="2" borderId="7" xfId="0" applyFill="1" applyBorder="1"/>
    <xf numFmtId="1" fontId="21" fillId="5" borderId="8" xfId="0" applyNumberFormat="1" applyFont="1" applyFill="1" applyBorder="1"/>
    <xf numFmtId="11" fontId="0" fillId="3" borderId="10" xfId="0" applyNumberFormat="1" applyFill="1" applyBorder="1" applyProtection="1">
      <protection locked="0"/>
    </xf>
    <xf numFmtId="0" fontId="0" fillId="2" borderId="12" xfId="0" applyFill="1" applyBorder="1"/>
    <xf numFmtId="166" fontId="21" fillId="5" borderId="1" xfId="0" applyNumberFormat="1" applyFont="1" applyFill="1" applyBorder="1"/>
    <xf numFmtId="0" fontId="20" fillId="4" borderId="13" xfId="0" applyFont="1" applyFill="1" applyBorder="1" applyProtection="1"/>
    <xf numFmtId="0" fontId="20" fillId="0" borderId="13" xfId="0" applyFont="1" applyBorder="1" applyProtection="1"/>
    <xf numFmtId="0" fontId="22" fillId="2" borderId="0" xfId="0" applyFont="1" applyFill="1"/>
    <xf numFmtId="0" fontId="23" fillId="2" borderId="0" xfId="0" applyFont="1" applyFill="1" applyBorder="1" applyProtection="1"/>
    <xf numFmtId="2" fontId="22" fillId="2" borderId="0" xfId="0" applyNumberFormat="1" applyFont="1" applyFill="1" applyBorder="1"/>
    <xf numFmtId="0" fontId="22" fillId="0" borderId="0" xfId="0" applyFont="1"/>
    <xf numFmtId="0" fontId="24" fillId="2" borderId="0" xfId="0" applyFont="1" applyFill="1"/>
    <xf numFmtId="0" fontId="21" fillId="2" borderId="0" xfId="0" applyFont="1" applyFill="1"/>
    <xf numFmtId="0" fontId="25" fillId="2" borderId="0" xfId="0" applyFont="1" applyFill="1"/>
    <xf numFmtId="2" fontId="21" fillId="5" borderId="10" xfId="0" applyNumberFormat="1" applyFont="1" applyFill="1" applyBorder="1"/>
    <xf numFmtId="2" fontId="21" fillId="5" borderId="11" xfId="0" applyNumberFormat="1" applyFont="1" applyFill="1" applyBorder="1"/>
    <xf numFmtId="2" fontId="21" fillId="5" borderId="13" xfId="0" applyNumberFormat="1" applyFont="1" applyFill="1" applyBorder="1"/>
    <xf numFmtId="0" fontId="20" fillId="0" borderId="11" xfId="0" applyFont="1" applyBorder="1" applyProtection="1"/>
    <xf numFmtId="11" fontId="27" fillId="3" borderId="13" xfId="0" applyNumberFormat="1" applyFont="1" applyFill="1" applyBorder="1" applyProtection="1"/>
    <xf numFmtId="0" fontId="0" fillId="4" borderId="13" xfId="0" applyFill="1" applyBorder="1" applyProtection="1"/>
    <xf numFmtId="166" fontId="8" fillId="2" borderId="0" xfId="0" applyNumberFormat="1" applyFont="1" applyFill="1" applyProtection="1">
      <protection hidden="1"/>
    </xf>
    <xf numFmtId="11" fontId="8" fillId="2" borderId="0" xfId="0" applyNumberFormat="1" applyFont="1" applyFill="1" applyProtection="1">
      <protection hidden="1"/>
    </xf>
    <xf numFmtId="0" fontId="8" fillId="2" borderId="0" xfId="0" applyFont="1" applyFill="1" applyBorder="1"/>
    <xf numFmtId="0" fontId="8" fillId="2" borderId="0" xfId="0" quotePrefix="1" applyFont="1" applyFill="1" applyProtection="1">
      <protection hidden="1"/>
    </xf>
    <xf numFmtId="11" fontId="8" fillId="2" borderId="0" xfId="0" applyNumberFormat="1" applyFont="1" applyFill="1" applyBorder="1" applyProtection="1">
      <protection hidden="1"/>
    </xf>
    <xf numFmtId="0" fontId="8" fillId="10" borderId="0" xfId="0" applyFont="1" applyFill="1" applyProtection="1"/>
    <xf numFmtId="0" fontId="0" fillId="11" borderId="10" xfId="0" applyFill="1" applyBorder="1" applyProtection="1"/>
    <xf numFmtId="0" fontId="0" fillId="4" borderId="9" xfId="0" applyFill="1" applyBorder="1" applyProtection="1"/>
    <xf numFmtId="0" fontId="0" fillId="11" borderId="11" xfId="0" applyFill="1" applyBorder="1" applyProtection="1"/>
    <xf numFmtId="0" fontId="0" fillId="4" borderId="6" xfId="0" applyFill="1" applyBorder="1" applyProtection="1"/>
    <xf numFmtId="11" fontId="0" fillId="5" borderId="11" xfId="0" applyNumberFormat="1" applyFill="1" applyBorder="1" applyProtection="1"/>
    <xf numFmtId="11" fontId="0" fillId="11" borderId="11" xfId="0" applyNumberFormat="1" applyFill="1" applyBorder="1" applyProtection="1"/>
    <xf numFmtId="11" fontId="0" fillId="11" borderId="13" xfId="0" applyNumberFormat="1" applyFill="1" applyBorder="1" applyProtection="1"/>
    <xf numFmtId="0" fontId="0" fillId="4" borderId="14" xfId="0" applyFill="1" applyBorder="1" applyProtection="1"/>
    <xf numFmtId="0" fontId="21" fillId="5" borderId="0" xfId="0" applyFont="1" applyFill="1" applyBorder="1" applyProtection="1"/>
    <xf numFmtId="0" fontId="2" fillId="3" borderId="0" xfId="2" applyFont="1" applyFill="1" applyProtection="1">
      <protection locked="0"/>
    </xf>
    <xf numFmtId="0" fontId="8" fillId="2" borderId="0" xfId="0" applyFont="1" applyFill="1" applyProtection="1"/>
    <xf numFmtId="0" fontId="8" fillId="10" borderId="0" xfId="0" applyFont="1" applyFill="1" applyAlignment="1" applyProtection="1">
      <alignment horizontal="right"/>
    </xf>
    <xf numFmtId="0" fontId="29" fillId="2" borderId="0" xfId="0" applyFont="1" applyFill="1"/>
    <xf numFmtId="164" fontId="2" fillId="3" borderId="0" xfId="0" applyNumberFormat="1" applyFont="1" applyFill="1" applyAlignment="1" applyProtection="1">
      <alignment horizontal="right" vertical="center"/>
      <protection locked="0"/>
    </xf>
    <xf numFmtId="1" fontId="21" fillId="5" borderId="0" xfId="0" applyNumberFormat="1" applyFont="1" applyFill="1" applyBorder="1"/>
    <xf numFmtId="11" fontId="0" fillId="3" borderId="16" xfId="0" applyNumberFormat="1" applyFill="1" applyBorder="1" applyProtection="1">
      <protection locked="0"/>
    </xf>
    <xf numFmtId="0" fontId="2" fillId="2" borderId="0" xfId="2" applyFont="1" applyFill="1" applyAlignment="1">
      <alignment horizontal="left" vertical="center"/>
    </xf>
    <xf numFmtId="0" fontId="2" fillId="2" borderId="0" xfId="0" applyFont="1" applyFill="1" applyAlignment="1">
      <alignment horizontal="right"/>
    </xf>
    <xf numFmtId="164" fontId="2" fillId="3" borderId="0" xfId="0" applyNumberFormat="1" applyFont="1" applyFill="1" applyAlignment="1" applyProtection="1">
      <alignment vertical="center"/>
      <protection locked="0"/>
    </xf>
    <xf numFmtId="1" fontId="2" fillId="5" borderId="0" xfId="0" applyNumberFormat="1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7" fillId="3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164" fontId="7" fillId="5" borderId="0" xfId="0" applyNumberFormat="1" applyFont="1" applyFill="1" applyAlignment="1">
      <alignment vertical="center"/>
    </xf>
    <xf numFmtId="1" fontId="2" fillId="3" borderId="0" xfId="0" applyNumberFormat="1" applyFont="1" applyFill="1" applyAlignment="1" applyProtection="1">
      <alignment vertical="center"/>
      <protection locked="0"/>
    </xf>
    <xf numFmtId="1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65" fontId="11" fillId="5" borderId="0" xfId="0" applyNumberFormat="1" applyFont="1" applyFill="1" applyAlignment="1">
      <alignment vertical="center"/>
    </xf>
    <xf numFmtId="0" fontId="33" fillId="2" borderId="0" xfId="0" applyFont="1" applyFill="1" applyAlignment="1">
      <alignment horizontal="center" vertical="center"/>
    </xf>
    <xf numFmtId="1" fontId="2" fillId="5" borderId="0" xfId="0" applyNumberFormat="1" applyFont="1" applyFill="1" applyAlignment="1">
      <alignment horizontal="right"/>
    </xf>
    <xf numFmtId="2" fontId="4" fillId="2" borderId="0" xfId="0" applyNumberFormat="1" applyFont="1" applyFill="1" applyAlignment="1">
      <alignment vertical="center"/>
    </xf>
    <xf numFmtId="0" fontId="34" fillId="2" borderId="0" xfId="0" applyFont="1" applyFill="1"/>
    <xf numFmtId="9" fontId="20" fillId="3" borderId="0" xfId="1" applyFont="1" applyFill="1" applyBorder="1" applyProtection="1">
      <protection locked="0"/>
    </xf>
    <xf numFmtId="0" fontId="31" fillId="2" borderId="2" xfId="0" applyFont="1" applyFill="1" applyBorder="1" applyAlignment="1">
      <alignment vertical="top" wrapText="1"/>
    </xf>
    <xf numFmtId="0" fontId="31" fillId="2" borderId="0" xfId="0" applyFont="1" applyFill="1" applyBorder="1" applyAlignment="1">
      <alignment vertical="top" wrapText="1"/>
    </xf>
    <xf numFmtId="0" fontId="8" fillId="2" borderId="0" xfId="0" applyFont="1" applyFill="1" applyAlignment="1">
      <alignment horizontal="right"/>
    </xf>
    <xf numFmtId="1" fontId="8" fillId="10" borderId="0" xfId="0" applyNumberFormat="1" applyFont="1" applyFill="1"/>
    <xf numFmtId="0" fontId="8" fillId="10" borderId="0" xfId="0" applyFont="1" applyFill="1"/>
    <xf numFmtId="0" fontId="2" fillId="2" borderId="0" xfId="0" applyFont="1" applyFill="1" applyAlignment="1">
      <alignment horizontal="right" vertical="center"/>
    </xf>
    <xf numFmtId="0" fontId="35" fillId="2" borderId="0" xfId="0" applyFont="1" applyFill="1" applyProtection="1">
      <protection hidden="1"/>
    </xf>
    <xf numFmtId="1" fontId="8" fillId="2" borderId="0" xfId="0" applyNumberFormat="1" applyFont="1" applyFill="1" applyProtection="1">
      <protection hidden="1"/>
    </xf>
    <xf numFmtId="167" fontId="8" fillId="2" borderId="0" xfId="0" applyNumberFormat="1" applyFont="1" applyFill="1" applyProtection="1">
      <protection hidden="1"/>
    </xf>
    <xf numFmtId="168" fontId="8" fillId="2" borderId="0" xfId="0" applyNumberFormat="1" applyFont="1" applyFill="1" applyProtection="1">
      <protection hidden="1"/>
    </xf>
    <xf numFmtId="0" fontId="8" fillId="0" borderId="0" xfId="0" applyFont="1" applyFill="1" applyBorder="1" applyProtection="1">
      <protection hidden="1"/>
    </xf>
    <xf numFmtId="1" fontId="8" fillId="2" borderId="0" xfId="0" applyNumberFormat="1" applyFont="1" applyFill="1" applyBorder="1" applyProtection="1">
      <protection hidden="1"/>
    </xf>
    <xf numFmtId="4" fontId="8" fillId="2" borderId="0" xfId="0" applyNumberFormat="1" applyFont="1" applyFill="1" applyProtection="1">
      <protection hidden="1"/>
    </xf>
    <xf numFmtId="0" fontId="36" fillId="2" borderId="0" xfId="0" applyFont="1" applyFill="1" applyProtection="1">
      <protection hidden="1"/>
    </xf>
    <xf numFmtId="0" fontId="8" fillId="2" borderId="0" xfId="2" applyFont="1" applyFill="1" applyProtection="1">
      <protection hidden="1"/>
    </xf>
    <xf numFmtId="165" fontId="8" fillId="2" borderId="0" xfId="2" applyNumberFormat="1" applyFont="1" applyFill="1" applyProtection="1">
      <protection hidden="1"/>
    </xf>
    <xf numFmtId="169" fontId="8" fillId="2" borderId="0" xfId="0" applyNumberFormat="1" applyFont="1" applyFill="1" applyProtection="1">
      <protection hidden="1"/>
    </xf>
    <xf numFmtId="165" fontId="36" fillId="2" borderId="0" xfId="0" applyNumberFormat="1" applyFont="1" applyFill="1" applyProtection="1">
      <protection hidden="1"/>
    </xf>
    <xf numFmtId="0" fontId="8" fillId="2" borderId="0" xfId="0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/>
    <xf numFmtId="170" fontId="8" fillId="2" borderId="0" xfId="0" applyNumberFormat="1" applyFont="1" applyFill="1"/>
    <xf numFmtId="11" fontId="24" fillId="2" borderId="0" xfId="0" applyNumberFormat="1" applyFont="1" applyFill="1"/>
    <xf numFmtId="0" fontId="2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4" fillId="2" borderId="0" xfId="0" quotePrefix="1" applyFont="1" applyFill="1"/>
    <xf numFmtId="0" fontId="24" fillId="2" borderId="0" xfId="4" quotePrefix="1" applyFont="1" applyFill="1"/>
    <xf numFmtId="0" fontId="24" fillId="2" borderId="0" xfId="4" applyFont="1" applyFill="1"/>
    <xf numFmtId="0" fontId="2" fillId="12" borderId="0" xfId="0" applyFont="1" applyFill="1"/>
    <xf numFmtId="0" fontId="2" fillId="10" borderId="0" xfId="0" applyFont="1" applyFill="1"/>
    <xf numFmtId="164" fontId="2" fillId="12" borderId="0" xfId="0" applyNumberFormat="1" applyFont="1" applyFill="1" applyAlignment="1" applyProtection="1">
      <alignment vertical="center"/>
      <protection locked="0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15" fillId="0" borderId="0" xfId="3" applyAlignment="1">
      <alignment horizontal="center" vertical="center"/>
    </xf>
    <xf numFmtId="0" fontId="16" fillId="8" borderId="0" xfId="0" applyFont="1" applyFill="1" applyAlignment="1">
      <alignment horizontal="center"/>
    </xf>
    <xf numFmtId="0" fontId="0" fillId="0" borderId="0" xfId="0" applyAlignment="1"/>
    <xf numFmtId="0" fontId="17" fillId="2" borderId="2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8" fillId="8" borderId="0" xfId="0" applyFont="1" applyFill="1" applyAlignment="1">
      <alignment horizontal="center"/>
    </xf>
    <xf numFmtId="0" fontId="0" fillId="5" borderId="12" xfId="0" applyFill="1" applyBorder="1" applyAlignment="1"/>
    <xf numFmtId="0" fontId="0" fillId="0" borderId="14" xfId="0" applyBorder="1" applyAlignment="1"/>
    <xf numFmtId="0" fontId="0" fillId="5" borderId="7" xfId="0" applyFill="1" applyBorder="1" applyAlignment="1"/>
    <xf numFmtId="0" fontId="0" fillId="0" borderId="9" xfId="0" applyBorder="1" applyAlignment="1"/>
    <xf numFmtId="0" fontId="28" fillId="5" borderId="12" xfId="0" applyFont="1" applyFill="1" applyBorder="1" applyAlignment="1" applyProtection="1"/>
    <xf numFmtId="0" fontId="28" fillId="0" borderId="14" xfId="0" applyFont="1" applyBorder="1" applyAlignment="1" applyProtection="1"/>
    <xf numFmtId="0" fontId="8" fillId="2" borderId="0" xfId="0" applyFont="1" applyFill="1" applyAlignment="1">
      <alignment horizontal="center"/>
    </xf>
    <xf numFmtId="0" fontId="0" fillId="5" borderId="7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9" borderId="3" xfId="0" applyFill="1" applyBorder="1" applyAlignment="1">
      <alignment horizontal="center"/>
    </xf>
    <xf numFmtId="0" fontId="0" fillId="9" borderId="3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7">
    <cellStyle name="Normal" xfId="0" builtinId="0"/>
    <cellStyle name="Normal 2" xfId="2"/>
    <cellStyle name="Normal 3" xfId="4"/>
    <cellStyle name="Normal 4" xfId="3"/>
    <cellStyle name="Percent" xfId="1" builtinId="5"/>
    <cellStyle name="Percent 2" xfId="6"/>
    <cellStyle name="Percent 3" xfId="5"/>
  </cellStyles>
  <dxfs count="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99"/>
      <color rgb="FFFFFF66"/>
      <color rgb="FFCC9900"/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Power Loss Distribution Chart</a:t>
            </a:r>
          </a:p>
        </c:rich>
      </c:tx>
      <c:layout>
        <c:manualLayout>
          <c:xMode val="edge"/>
          <c:yMode val="edge"/>
          <c:x val="0.30381468498736203"/>
          <c:y val="3.1042128603104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3978201634879"/>
          <c:y val="0.12532854445825853"/>
          <c:w val="0.8479459948616066"/>
          <c:h val="0.74612822519992017"/>
        </c:manualLayout>
      </c:layout>
      <c:barChart>
        <c:barDir val="col"/>
        <c:grouping val="stacked"/>
        <c:varyColors val="0"/>
        <c:ser>
          <c:idx val="0"/>
          <c:order val="0"/>
          <c:tx>
            <c:v>Conduction Losses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'Power Loss'!$J$28:$J$32</c:f>
              <c:strCache>
                <c:ptCount val="5"/>
                <c:pt idx="0">
                  <c:v>Upper MOSFET</c:v>
                </c:pt>
                <c:pt idx="1">
                  <c:v>Lower MOSFET</c:v>
                </c:pt>
                <c:pt idx="2">
                  <c:v>Driver</c:v>
                </c:pt>
                <c:pt idx="3">
                  <c:v>Output Inductor</c:v>
                </c:pt>
                <c:pt idx="4">
                  <c:v>Ouput Cap. ESR</c:v>
                </c:pt>
              </c:strCache>
            </c:strRef>
          </c:cat>
          <c:val>
            <c:numRef>
              <c:f>'Power Loss'!$K$28:$K$32</c:f>
              <c:numCache>
                <c:formatCode>0.000</c:formatCode>
                <c:ptCount val="5"/>
                <c:pt idx="0">
                  <c:v>0.53568712989139178</c:v>
                </c:pt>
                <c:pt idx="1">
                  <c:v>0.42272875982269698</c:v>
                </c:pt>
                <c:pt idx="3">
                  <c:v>6.4119085039009788E-2</c:v>
                </c:pt>
                <c:pt idx="4" formatCode="0.000E+00">
                  <c:v>3.5863562987622214E-4</c:v>
                </c:pt>
              </c:numCache>
            </c:numRef>
          </c:val>
        </c:ser>
        <c:ser>
          <c:idx val="1"/>
          <c:order val="1"/>
          <c:tx>
            <c:v>Switching Losses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'Power Loss'!$J$28:$J$32</c:f>
              <c:strCache>
                <c:ptCount val="5"/>
                <c:pt idx="0">
                  <c:v>Upper MOSFET</c:v>
                </c:pt>
                <c:pt idx="1">
                  <c:v>Lower MOSFET</c:v>
                </c:pt>
                <c:pt idx="2">
                  <c:v>Driver</c:v>
                </c:pt>
                <c:pt idx="3">
                  <c:v>Output Inductor</c:v>
                </c:pt>
                <c:pt idx="4">
                  <c:v>Ouput Cap. ESR</c:v>
                </c:pt>
              </c:strCache>
            </c:strRef>
          </c:cat>
          <c:val>
            <c:numRef>
              <c:f>'Power Loss'!$L$28:$L$32</c:f>
              <c:numCache>
                <c:formatCode>0.000</c:formatCode>
                <c:ptCount val="5"/>
                <c:pt idx="0">
                  <c:v>0.3268796249918306</c:v>
                </c:pt>
                <c:pt idx="1">
                  <c:v>0.12676532902688925</c:v>
                </c:pt>
                <c:pt idx="2">
                  <c:v>1.14E-3</c:v>
                </c:pt>
                <c:pt idx="3">
                  <c:v>1.3754846045381281E-2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788864"/>
        <c:axId val="226795904"/>
      </c:barChart>
      <c:catAx>
        <c:axId val="22678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Component</a:t>
                </a:r>
              </a:p>
            </c:rich>
          </c:tx>
          <c:layout>
            <c:manualLayout>
              <c:xMode val="edge"/>
              <c:yMode val="edge"/>
              <c:x val="0.48268777499245885"/>
              <c:y val="0.935846264830931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679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795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Watts</a:t>
                </a:r>
              </a:p>
            </c:rich>
          </c:tx>
          <c:layout>
            <c:manualLayout>
              <c:xMode val="edge"/>
              <c:yMode val="edge"/>
              <c:x val="2.0435965979813949E-2"/>
              <c:y val="0.4323729711169695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67888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82472253715972"/>
          <c:y val="0.12571042654755873"/>
          <c:w val="0.21312211138733153"/>
          <c:h val="9.9778503296843984E-2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200" b="0" i="0" u="none" strike="noStrike" baseline="0">
          <a:ln>
            <a:noFill/>
          </a:ln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Efficiency Vs. Load </a:t>
            </a:r>
          </a:p>
        </c:rich>
      </c:tx>
      <c:layout>
        <c:manualLayout>
          <c:xMode val="edge"/>
          <c:yMode val="edge"/>
          <c:x val="0.3307892047845164"/>
          <c:y val="2.92397660818713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62304902726853E-2"/>
          <c:y val="0.16374300176466894"/>
          <c:w val="0.88634542819552131"/>
          <c:h val="0.73879282939058954"/>
        </c:manualLayout>
      </c:layout>
      <c:scatterChart>
        <c:scatterStyle val="smoothMarker"/>
        <c:varyColors val="0"/>
        <c:ser>
          <c:idx val="0"/>
          <c:order val="0"/>
          <c:tx>
            <c:v>PWM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'Efficiency Summary'!$A$13:$A$41</c:f>
              <c:numCache>
                <c:formatCode>General</c:formatCode>
                <c:ptCount val="29"/>
                <c:pt idx="0">
                  <c:v>1E-3</c:v>
                </c:pt>
                <c:pt idx="1">
                  <c:v>4.4990000000000004E-3</c:v>
                </c:pt>
                <c:pt idx="2">
                  <c:v>7.9980000000000016E-3</c:v>
                </c:pt>
                <c:pt idx="3">
                  <c:v>1.4996000000000002E-2</c:v>
                </c:pt>
                <c:pt idx="4">
                  <c:v>2.1994000000000003E-2</c:v>
                </c:pt>
                <c:pt idx="5">
                  <c:v>2.8992000000000004E-2</c:v>
                </c:pt>
                <c:pt idx="6">
                  <c:v>3.5990000000000001E-2</c:v>
                </c:pt>
                <c:pt idx="7">
                  <c:v>7.0980000000000001E-2</c:v>
                </c:pt>
                <c:pt idx="8">
                  <c:v>0.14096</c:v>
                </c:pt>
                <c:pt idx="9">
                  <c:v>0.21093999999999999</c:v>
                </c:pt>
                <c:pt idx="10">
                  <c:v>0.28092</c:v>
                </c:pt>
                <c:pt idx="11">
                  <c:v>0.35090000000000005</c:v>
                </c:pt>
                <c:pt idx="12">
                  <c:v>0.52585000000000004</c:v>
                </c:pt>
                <c:pt idx="13">
                  <c:v>0.70080000000000009</c:v>
                </c:pt>
                <c:pt idx="14">
                  <c:v>0.87575000000000003</c:v>
                </c:pt>
                <c:pt idx="15">
                  <c:v>1.2256499999999999</c:v>
                </c:pt>
                <c:pt idx="16">
                  <c:v>1.4006000000000001</c:v>
                </c:pt>
                <c:pt idx="17">
                  <c:v>1.57555</c:v>
                </c:pt>
                <c:pt idx="18">
                  <c:v>1.7504999999999999</c:v>
                </c:pt>
                <c:pt idx="19">
                  <c:v>1.9254500000000001</c:v>
                </c:pt>
                <c:pt idx="20">
                  <c:v>2.1004</c:v>
                </c:pt>
                <c:pt idx="21">
                  <c:v>2.27535</c:v>
                </c:pt>
                <c:pt idx="22">
                  <c:v>2.4502999999999999</c:v>
                </c:pt>
                <c:pt idx="23">
                  <c:v>2.6252499999999999</c:v>
                </c:pt>
                <c:pt idx="24">
                  <c:v>2.8002000000000002</c:v>
                </c:pt>
                <c:pt idx="25">
                  <c:v>2.9751499999999997</c:v>
                </c:pt>
                <c:pt idx="26">
                  <c:v>3.1501000000000001</c:v>
                </c:pt>
                <c:pt idx="27">
                  <c:v>3.3250499999999996</c:v>
                </c:pt>
                <c:pt idx="28">
                  <c:v>3.5</c:v>
                </c:pt>
              </c:numCache>
            </c:numRef>
          </c:xVal>
          <c:yVal>
            <c:numRef>
              <c:f>'Efficiency Summary'!$C$13:$C$41</c:f>
              <c:numCache>
                <c:formatCode>0.00</c:formatCode>
                <c:ptCount val="29"/>
                <c:pt idx="0">
                  <c:v>6.6158519894205927</c:v>
                </c:pt>
                <c:pt idx="1">
                  <c:v>24.105247838377693</c:v>
                </c:pt>
                <c:pt idx="2">
                  <c:v>36.00544477293662</c:v>
                </c:pt>
                <c:pt idx="3">
                  <c:v>51.157147066400654</c:v>
                </c:pt>
                <c:pt idx="4">
                  <c:v>60.396371567261568</c:v>
                </c:pt>
                <c:pt idx="5">
                  <c:v>66.616400707379583</c:v>
                </c:pt>
                <c:pt idx="6">
                  <c:v>71.087469348334352</c:v>
                </c:pt>
                <c:pt idx="7">
                  <c:v>82.34662460458388</c:v>
                </c:pt>
                <c:pt idx="8">
                  <c:v>89.491850553824122</c:v>
                </c:pt>
                <c:pt idx="9">
                  <c:v>92.081094385042292</c:v>
                </c:pt>
                <c:pt idx="10">
                  <c:v>93.345934882682329</c:v>
                </c:pt>
                <c:pt idx="11">
                  <c:v>94.039479894349952</c:v>
                </c:pt>
                <c:pt idx="12">
                  <c:v>94.658413988017742</c:v>
                </c:pt>
                <c:pt idx="13">
                  <c:v>94.538271306383919</c:v>
                </c:pt>
                <c:pt idx="14">
                  <c:v>94.654664935183789</c:v>
                </c:pt>
                <c:pt idx="15">
                  <c:v>94.575418558976537</c:v>
                </c:pt>
                <c:pt idx="16">
                  <c:v>94.45301315177062</c:v>
                </c:pt>
                <c:pt idx="17">
                  <c:v>94.300920882351733</c:v>
                </c:pt>
                <c:pt idx="18">
                  <c:v>94.128305450017436</c:v>
                </c:pt>
                <c:pt idx="19">
                  <c:v>93.941022091219622</c:v>
                </c:pt>
                <c:pt idx="20">
                  <c:v>93.742986091608685</c:v>
                </c:pt>
                <c:pt idx="21">
                  <c:v>93.536913925875524</c:v>
                </c:pt>
                <c:pt idx="22">
                  <c:v>93.324748751045888</c:v>
                </c:pt>
                <c:pt idx="23">
                  <c:v>93.107916695373248</c:v>
                </c:pt>
                <c:pt idx="24">
                  <c:v>92.88748756462661</c:v>
                </c:pt>
                <c:pt idx="25">
                  <c:v>92.664279120529741</c:v>
                </c:pt>
                <c:pt idx="26">
                  <c:v>92.438926768701606</c:v>
                </c:pt>
                <c:pt idx="27">
                  <c:v>92.211931341186656</c:v>
                </c:pt>
                <c:pt idx="28">
                  <c:v>92.054914270876438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394944"/>
        <c:axId val="233397248"/>
      </c:scatterChart>
      <c:valAx>
        <c:axId val="23339494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Output Current (A)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397248"/>
        <c:crosses val="autoZero"/>
        <c:crossBetween val="midCat"/>
      </c:valAx>
      <c:valAx>
        <c:axId val="233397248"/>
        <c:scaling>
          <c:orientation val="minMax"/>
          <c:max val="10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Efficiency (%)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394944"/>
        <c:crossesAt val="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23010550963087E-2"/>
          <c:y val="7.0422632073382577E-2"/>
          <c:w val="0.86346653263545869"/>
          <c:h val="0.8619730165782028"/>
        </c:manualLayout>
      </c:layout>
      <c:scatterChart>
        <c:scatterStyle val="smoothMarker"/>
        <c:varyColors val="0"/>
        <c:ser>
          <c:idx val="3"/>
          <c:order val="0"/>
          <c:tx>
            <c:v>T(s) Gain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Compensation!$AG$64:$AG$264</c:f>
              <c:numCache>
                <c:formatCode>General</c:formatCode>
                <c:ptCount val="201"/>
                <c:pt idx="0">
                  <c:v>12.319547015304009</c:v>
                </c:pt>
                <c:pt idx="1">
                  <c:v>12.319544540247511</c:v>
                </c:pt>
                <c:pt idx="2">
                  <c:v>12.319541826318714</c:v>
                </c:pt>
                <c:pt idx="3">
                  <c:v>12.319538850454821</c:v>
                </c:pt>
                <c:pt idx="4">
                  <c:v>12.319535587364729</c:v>
                </c:pt>
                <c:pt idx="5">
                  <c:v>12.319532009312901</c:v>
                </c:pt>
                <c:pt idx="6">
                  <c:v>12.319528085883103</c:v>
                </c:pt>
                <c:pt idx="7">
                  <c:v>12.319523783718873</c:v>
                </c:pt>
                <c:pt idx="8">
                  <c:v>12.319519066238234</c:v>
                </c:pt>
                <c:pt idx="9">
                  <c:v>12.319513893321211</c:v>
                </c:pt>
                <c:pt idx="10">
                  <c:v>12.319508220967311</c:v>
                </c:pt>
                <c:pt idx="11">
                  <c:v>12.319502000917939</c:v>
                </c:pt>
                <c:pt idx="12">
                  <c:v>12.319495180244342</c:v>
                </c:pt>
                <c:pt idx="13">
                  <c:v>12.319487700892884</c:v>
                </c:pt>
                <c:pt idx="14">
                  <c:v>12.319479499187914</c:v>
                </c:pt>
                <c:pt idx="15">
                  <c:v>12.319470505284729</c:v>
                </c:pt>
                <c:pt idx="16">
                  <c:v>12.319460642568574</c:v>
                </c:pt>
                <c:pt idx="17">
                  <c:v>12.319449826996134</c:v>
                </c:pt>
                <c:pt idx="18">
                  <c:v>12.319437966370764</c:v>
                </c:pt>
                <c:pt idx="19">
                  <c:v>12.31942495954682</c:v>
                </c:pt>
                <c:pt idx="20">
                  <c:v>12.31941069555532</c:v>
                </c:pt>
                <c:pt idx="21">
                  <c:v>12.31939505264368</c:v>
                </c:pt>
                <c:pt idx="22">
                  <c:v>12.319377897218436</c:v>
                </c:pt>
                <c:pt idx="23">
                  <c:v>12.319359082684951</c:v>
                </c:pt>
                <c:pt idx="24">
                  <c:v>12.319338448169779</c:v>
                </c:pt>
                <c:pt idx="25">
                  <c:v>12.319315817115484</c:v>
                </c:pt>
                <c:pt idx="26">
                  <c:v>12.319290995735342</c:v>
                </c:pt>
                <c:pt idx="27">
                  <c:v>12.319263771310421</c:v>
                </c:pt>
                <c:pt idx="28">
                  <c:v>12.319233910315965</c:v>
                </c:pt>
                <c:pt idx="29">
                  <c:v>12.319201156357138</c:v>
                </c:pt>
                <c:pt idx="30">
                  <c:v>12.319165227892956</c:v>
                </c:pt>
                <c:pt idx="31">
                  <c:v>12.319125815728174</c:v>
                </c:pt>
                <c:pt idx="32">
                  <c:v>12.319082580245189</c:v>
                </c:pt>
                <c:pt idx="33">
                  <c:v>12.319035148350093</c:v>
                </c:pt>
                <c:pt idx="34">
                  <c:v>12.318983110098451</c:v>
                </c:pt>
                <c:pt idx="35">
                  <c:v>12.318926014967735</c:v>
                </c:pt>
                <c:pt idx="36">
                  <c:v>12.3188633677343</c:v>
                </c:pt>
                <c:pt idx="37">
                  <c:v>12.318794623911227</c:v>
                </c:pt>
                <c:pt idx="38">
                  <c:v>12.318719184694924</c:v>
                </c:pt>
                <c:pt idx="39">
                  <c:v>12.318636391364864</c:v>
                </c:pt>
                <c:pt idx="40">
                  <c:v>12.318545519067568</c:v>
                </c:pt>
                <c:pt idx="41">
                  <c:v>12.318445769916371</c:v>
                </c:pt>
                <c:pt idx="42">
                  <c:v>12.318336265317438</c:v>
                </c:pt>
                <c:pt idx="43">
                  <c:v>12.318216037430243</c:v>
                </c:pt>
                <c:pt idx="44">
                  <c:v>12.318084019652179</c:v>
                </c:pt>
                <c:pt idx="45">
                  <c:v>12.317939036001313</c:v>
                </c:pt>
                <c:pt idx="46">
                  <c:v>12.317779789255695</c:v>
                </c:pt>
                <c:pt idx="47">
                  <c:v>12.317604847683992</c:v>
                </c:pt>
                <c:pt idx="48">
                  <c:v>12.317412630179639</c:v>
                </c:pt>
                <c:pt idx="49">
                  <c:v>12.317201389577566</c:v>
                </c:pt>
                <c:pt idx="50">
                  <c:v>12.316969193905667</c:v>
                </c:pt>
                <c:pt idx="51">
                  <c:v>12.316713905274931</c:v>
                </c:pt>
                <c:pt idx="52">
                  <c:v>12.316433156073614</c:v>
                </c:pt>
                <c:pt idx="53">
                  <c:v>12.316124322069143</c:v>
                </c:pt>
                <c:pt idx="54">
                  <c:v>12.315784491962658</c:v>
                </c:pt>
                <c:pt idx="55">
                  <c:v>12.31541043285935</c:v>
                </c:pt>
                <c:pt idx="56">
                  <c:v>12.314998551032684</c:v>
                </c:pt>
                <c:pt idx="57">
                  <c:v>12.31454484725189</c:v>
                </c:pt>
                <c:pt idx="58">
                  <c:v>12.314044865816388</c:v>
                </c:pt>
                <c:pt idx="59">
                  <c:v>12.313493636293178</c:v>
                </c:pt>
                <c:pt idx="60">
                  <c:v>12.312885606778357</c:v>
                </c:pt>
                <c:pt idx="61">
                  <c:v>12.312214567291978</c:v>
                </c:pt>
                <c:pt idx="62">
                  <c:v>12.311473561672205</c:v>
                </c:pt>
                <c:pt idx="63">
                  <c:v>12.310654786039802</c:v>
                </c:pt>
                <c:pt idx="64">
                  <c:v>12.309749471556993</c:v>
                </c:pt>
                <c:pt idx="65">
                  <c:v>12.308747748791617</c:v>
                </c:pt>
                <c:pt idx="66">
                  <c:v>12.307638490510836</c:v>
                </c:pt>
                <c:pt idx="67">
                  <c:v>12.306409129145761</c:v>
                </c:pt>
                <c:pt idx="68">
                  <c:v>12.305045444484527</c:v>
                </c:pt>
                <c:pt idx="69">
                  <c:v>12.303531316332867</c:v>
                </c:pt>
                <c:pt idx="70">
                  <c:v>12.301848435919977</c:v>
                </c:pt>
                <c:pt idx="71">
                  <c:v>12.299975968687848</c:v>
                </c:pt>
                <c:pt idx="72">
                  <c:v>12.29789015975032</c:v>
                </c:pt>
                <c:pt idx="73">
                  <c:v>12.295563871726284</c:v>
                </c:pt>
                <c:pt idx="74">
                  <c:v>12.292966042778332</c:v>
                </c:pt>
                <c:pt idx="75">
                  <c:v>12.290061050493961</c:v>
                </c:pt>
                <c:pt idx="76">
                  <c:v>12.286807964684677</c:v>
                </c:pt>
                <c:pt idx="77">
                  <c:v>12.283159669179096</c:v>
                </c:pt>
                <c:pt idx="78">
                  <c:v>12.279061829222561</c:v>
                </c:pt>
                <c:pt idx="79">
                  <c:v>12.274451677089735</c:v>
                </c:pt>
                <c:pt idx="80">
                  <c:v>12.269256583937649</c:v>
                </c:pt>
                <c:pt idx="81">
                  <c:v>12.263392380733977</c:v>
                </c:pt>
                <c:pt idx="82">
                  <c:v>12.256761385273144</c:v>
                </c:pt>
                <c:pt idx="83">
                  <c:v>12.249250085883636</c:v>
                </c:pt>
                <c:pt idx="84">
                  <c:v>12.240726425499764</c:v>
                </c:pt>
                <c:pt idx="85">
                  <c:v>12.231036622525977</c:v>
                </c:pt>
                <c:pt idx="86">
                  <c:v>12.220001457655192</c:v>
                </c:pt>
                <c:pt idx="87">
                  <c:v>12.207411949046465</c:v>
                </c:pt>
                <c:pt idx="88">
                  <c:v>12.193024332790811</c:v>
                </c:pt>
                <c:pt idx="89">
                  <c:v>12.176554262556031</c:v>
                </c:pt>
                <c:pt idx="90">
                  <c:v>12.157670143359846</c:v>
                </c:pt>
                <c:pt idx="91">
                  <c:v>12.135985521860418</c:v>
                </c:pt>
                <c:pt idx="92">
                  <c:v>12.111050472489231</c:v>
                </c:pt>
                <c:pt idx="93">
                  <c:v>12.082341949241012</c:v>
                </c:pt>
                <c:pt idx="94">
                  <c:v>12.049253122144592</c:v>
                </c:pt>
                <c:pt idx="95">
                  <c:v>12.011081791606124</c:v>
                </c:pt>
                <c:pt idx="96">
                  <c:v>11.967018080058336</c:v>
                </c:pt>
                <c:pt idx="97">
                  <c:v>11.916131746066991</c:v>
                </c:pt>
                <c:pt idx="98">
                  <c:v>11.857359657694476</c:v>
                </c:pt>
                <c:pt idx="99">
                  <c:v>11.789494202940343</c:v>
                </c:pt>
                <c:pt idx="100">
                  <c:v>11.711173702693698</c:v>
                </c:pt>
                <c:pt idx="101">
                  <c:v>11.620876212395412</c:v>
                </c:pt>
                <c:pt idx="102">
                  <c:v>11.516918422975532</c:v>
                </c:pt>
                <c:pt idx="103">
                  <c:v>11.397461648499396</c:v>
                </c:pt>
                <c:pt idx="104">
                  <c:v>11.260527041114518</c:v>
                </c:pt>
                <c:pt idx="105">
                  <c:v>11.104022103722169</c:v>
                </c:pt>
                <c:pt idx="106">
                  <c:v>10.925780165372815</c:v>
                </c:pt>
                <c:pt idx="107">
                  <c:v>10.723613643895957</c:v>
                </c:pt>
                <c:pt idx="108">
                  <c:v>10.495380595723118</c:v>
                </c:pt>
                <c:pt idx="109">
                  <c:v>10.239062293333919</c:v>
                </c:pt>
                <c:pt idx="110">
                  <c:v>9.9528475642780627</c:v>
                </c:pt>
                <c:pt idx="111">
                  <c:v>9.6352177102472982</c:v>
                </c:pt>
                <c:pt idx="112">
                  <c:v>9.2850244453986637</c:v>
                </c:pt>
                <c:pt idx="113">
                  <c:v>8.9015528969079352</c:v>
                </c:pt>
                <c:pt idx="114">
                  <c:v>8.4845625977503598</c:v>
                </c:pt>
                <c:pt idx="115">
                  <c:v>8.0343015874914219</c:v>
                </c:pt>
                <c:pt idx="116">
                  <c:v>7.5514918916090661</c:v>
                </c:pt>
                <c:pt idx="117">
                  <c:v>7.0372881603015109</c:v>
                </c:pt>
                <c:pt idx="118">
                  <c:v>6.4932143919868048</c:v>
                </c:pt>
                <c:pt idx="119">
                  <c:v>5.921085834686969</c:v>
                </c:pt>
                <c:pt idx="120">
                  <c:v>5.3229240254072199</c:v>
                </c:pt>
                <c:pt idx="121">
                  <c:v>4.700872513972838</c:v>
                </c:pt>
                <c:pt idx="122">
                  <c:v>4.0571194270561666</c:v>
                </c:pt>
                <c:pt idx="123">
                  <c:v>3.3938311081925847</c:v>
                </c:pt>
                <c:pt idx="124">
                  <c:v>2.7130990646536985</c:v>
                </c:pt>
                <c:pt idx="125">
                  <c:v>2.0169006980141639</c:v>
                </c:pt>
                <c:pt idx="126">
                  <c:v>1.3070729778588299</c:v>
                </c:pt>
                <c:pt idx="127">
                  <c:v>0.58529738462699465</c:v>
                </c:pt>
                <c:pt idx="128">
                  <c:v>-0.14690595202549603</c:v>
                </c:pt>
                <c:pt idx="129">
                  <c:v>-0.88817705898302646</c:v>
                </c:pt>
                <c:pt idx="130">
                  <c:v>-1.6373098534957065</c:v>
                </c:pt>
                <c:pt idx="131">
                  <c:v>-2.3932425109428719</c:v>
                </c:pt>
                <c:pt idx="132">
                  <c:v>-3.1550458477749248</c:v>
                </c:pt>
                <c:pt idx="133">
                  <c:v>-3.9219107804289144</c:v>
                </c:pt>
                <c:pt idx="134">
                  <c:v>-4.6931356340222692</c:v>
                </c:pt>
                <c:pt idx="135">
                  <c:v>-5.4681138343440372</c:v>
                </c:pt>
                <c:pt idx="136">
                  <c:v>-6.246322325724516</c:v>
                </c:pt>
                <c:pt idx="137">
                  <c:v>-7.0273109122900319</c:v>
                </c:pt>
                <c:pt idx="138">
                  <c:v>-7.8106926143833419</c:v>
                </c:pt>
                <c:pt idx="139">
                  <c:v>-8.5961350581896809</c:v>
                </c:pt>
                <c:pt idx="140">
                  <c:v>-9.3833528677055948</c:v>
                </c:pt>
                <c:pt idx="141">
                  <c:v>-10.172100997930771</c:v>
                </c:pt>
                <c:pt idx="142">
                  <c:v>-10.962168931387525</c:v>
                </c:pt>
                <c:pt idx="143">
                  <c:v>-11.753375652735729</c:v>
                </c:pt>
                <c:pt idx="144">
                  <c:v>-12.545565315261353</c:v>
                </c:pt>
                <c:pt idx="145">
                  <c:v>-13.338603516088776</c:v>
                </c:pt>
                <c:pt idx="146">
                  <c:v>-14.132374102455422</c:v>
                </c:pt>
                <c:pt idx="147">
                  <c:v>-14.926776438148133</c:v>
                </c:pt>
                <c:pt idx="148">
                  <c:v>-15.721723066449201</c:v>
                </c:pt>
                <c:pt idx="149">
                  <c:v>-16.51713771317392</c:v>
                </c:pt>
                <c:pt idx="150">
                  <c:v>-17.312953580280478</c:v>
                </c:pt>
                <c:pt idx="151">
                  <c:v>-18.1091118869257</c:v>
                </c:pt>
                <c:pt idx="152">
                  <c:v>-18.905560620627465</c:v>
                </c:pt>
                <c:pt idx="153">
                  <c:v>-19.702253466362116</c:v>
                </c:pt>
                <c:pt idx="154">
                  <c:v>-20.49914888597614</c:v>
                </c:pt>
                <c:pt idx="155">
                  <c:v>-21.296209324263778</c:v>
                </c:pt>
                <c:pt idx="156">
                  <c:v>-22.093400521504314</c:v>
                </c:pt>
                <c:pt idx="157">
                  <c:v>-22.890690915215632</c:v>
                </c:pt>
                <c:pt idx="158">
                  <c:v>-23.688051116419949</c:v>
                </c:pt>
                <c:pt idx="159">
                  <c:v>-24.4854534478857</c:v>
                </c:pt>
                <c:pt idx="160">
                  <c:v>-25.2828715336512</c:v>
                </c:pt>
                <c:pt idx="161">
                  <c:v>-26.080279930702478</c:v>
                </c:pt>
                <c:pt idx="162">
                  <c:v>-26.877653795005223</c:v>
                </c:pt>
                <c:pt idx="163">
                  <c:v>-27.6749685752111</c:v>
                </c:pt>
                <c:pt idx="164">
                  <c:v>-28.472199728315974</c:v>
                </c:pt>
                <c:pt idx="165">
                  <c:v>-29.269322452348053</c:v>
                </c:pt>
                <c:pt idx="166">
                  <c:v>-30.066311431864662</c:v>
                </c:pt>
                <c:pt idx="167">
                  <c:v>-30.863140592613433</c:v>
                </c:pt>
                <c:pt idx="168">
                  <c:v>-31.659782862240146</c:v>
                </c:pt>
                <c:pt idx="169">
                  <c:v>-32.456209934364253</c:v>
                </c:pt>
                <c:pt idx="170">
                  <c:v>-33.252392033756138</c:v>
                </c:pt>
                <c:pt idx="171">
                  <c:v>-34.048297680715642</c:v>
                </c:pt>
                <c:pt idx="172">
                  <c:v>-34.843893453109146</c:v>
                </c:pt>
                <c:pt idx="173">
                  <c:v>-35.639143744864782</c:v>
                </c:pt>
                <c:pt idx="174">
                  <c:v>-36.434010520081635</c:v>
                </c:pt>
                <c:pt idx="175">
                  <c:v>-37.228453062274042</c:v>
                </c:pt>
                <c:pt idx="176">
                  <c:v>-38.022427718675601</c:v>
                </c:pt>
                <c:pt idx="177">
                  <c:v>-38.815887639964295</c:v>
                </c:pt>
                <c:pt idx="178">
                  <c:v>-39.608782516271447</c:v>
                </c:pt>
                <c:pt idx="179">
                  <c:v>-40.401058310890441</c:v>
                </c:pt>
                <c:pt idx="180">
                  <c:v>-41.192656993747285</c:v>
                </c:pt>
                <c:pt idx="181">
                  <c:v>-41.983516277421728</c:v>
                </c:pt>
                <c:pt idx="182">
                  <c:v>-42.77356935933966</c:v>
                </c:pt>
                <c:pt idx="183">
                  <c:v>-43.562744674699118</c:v>
                </c:pt>
                <c:pt idx="184">
                  <c:v>-44.350965665752028</c:v>
                </c:pt>
                <c:pt idx="185">
                  <c:v>-45.138150574247284</c:v>
                </c:pt>
                <c:pt idx="186">
                  <c:v>-45.924212265141655</c:v>
                </c:pt>
                <c:pt idx="187">
                  <c:v>-46.709058091106037</c:v>
                </c:pt>
                <c:pt idx="188">
                  <c:v>-47.492589808860295</c:v>
                </c:pt>
                <c:pt idx="189">
                  <c:v>-48.274703559963754</c:v>
                </c:pt>
                <c:pt idx="190">
                  <c:v>-49.055289930289554</c:v>
                </c:pt>
                <c:pt idx="191">
                  <c:v>-49.83423410399655</c:v>
                </c:pt>
                <c:pt idx="192">
                  <c:v>-50.611416129286589</c:v>
                </c:pt>
                <c:pt idx="193">
                  <c:v>-51.386711314494022</c:v>
                </c:pt>
                <c:pt idx="194">
                  <c:v>-52.159990773991531</c:v>
                </c:pt>
                <c:pt idx="195">
                  <c:v>-52.931122143844277</c:v>
                </c:pt>
                <c:pt idx="196">
                  <c:v>-53.699970486943357</c:v>
                </c:pt>
                <c:pt idx="197">
                  <c:v>-54.466399406298876</c:v>
                </c:pt>
                <c:pt idx="198">
                  <c:v>-55.230272383076425</c:v>
                </c:pt>
                <c:pt idx="199">
                  <c:v>-55.991454352596826</c:v>
                </c:pt>
                <c:pt idx="200">
                  <c:v>-56.749813526705836</c:v>
                </c:pt>
              </c:numCache>
            </c:numRef>
          </c:yVal>
          <c:smooth val="1"/>
        </c:ser>
        <c:ser>
          <c:idx val="0"/>
          <c:order val="1"/>
          <c:tx>
            <c:v>Ti(s) Gain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Compensation!$Y$64:$Y$264</c:f>
              <c:numCache>
                <c:formatCode>General</c:formatCode>
                <c:ptCount val="201"/>
                <c:pt idx="0">
                  <c:v>-9.2032036354111764</c:v>
                </c:pt>
                <c:pt idx="1">
                  <c:v>-9.2028617508627448</c:v>
                </c:pt>
                <c:pt idx="2">
                  <c:v>-9.202486906302795</c:v>
                </c:pt>
                <c:pt idx="3">
                  <c:v>-9.2020759267380186</c:v>
                </c:pt>
                <c:pt idx="4">
                  <c:v>-9.2016253318530836</c:v>
                </c:pt>
                <c:pt idx="5">
                  <c:v>-9.2011313067548315</c:v>
                </c:pt>
                <c:pt idx="6">
                  <c:v>-9.2005896699336258</c:v>
                </c:pt>
                <c:pt idx="7">
                  <c:v>-9.1999958381835043</c:v>
                </c:pt>
                <c:pt idx="8">
                  <c:v>-9.1993447881952619</c:v>
                </c:pt>
                <c:pt idx="9">
                  <c:v>-9.1986310145147989</c:v>
                </c:pt>
                <c:pt idx="10">
                  <c:v>-9.1978484835294267</c:v>
                </c:pt>
                <c:pt idx="11">
                  <c:v>-9.1969905831163103</c:v>
                </c:pt>
                <c:pt idx="12">
                  <c:v>-9.1960500675534984</c:v>
                </c:pt>
                <c:pt idx="13">
                  <c:v>-9.1950189972631602</c:v>
                </c:pt>
                <c:pt idx="14">
                  <c:v>-9.1938886729150067</c:v>
                </c:pt>
                <c:pt idx="15">
                  <c:v>-9.192649563382707</c:v>
                </c:pt>
                <c:pt idx="16">
                  <c:v>-9.1912912270007681</c:v>
                </c:pt>
                <c:pt idx="17">
                  <c:v>-9.1898022255267957</c:v>
                </c:pt>
                <c:pt idx="18">
                  <c:v>-9.1881700301647626</c:v>
                </c:pt>
                <c:pt idx="19">
                  <c:v>-9.1863809189552814</c:v>
                </c:pt>
                <c:pt idx="20">
                  <c:v>-9.1844198647866673</c:v>
                </c:pt>
                <c:pt idx="21">
                  <c:v>-9.182270413224332</c:v>
                </c:pt>
                <c:pt idx="22">
                  <c:v>-9.179914549299875</c:v>
                </c:pt>
                <c:pt idx="23">
                  <c:v>-9.1773325523412517</c:v>
                </c:pt>
                <c:pt idx="24">
                  <c:v>-9.1745028378669957</c:v>
                </c:pt>
                <c:pt idx="25">
                  <c:v>-9.1714017855054113</c:v>
                </c:pt>
                <c:pt idx="26">
                  <c:v>-9.1680035518413412</c:v>
                </c:pt>
                <c:pt idx="27">
                  <c:v>-9.1642798670340504</c:v>
                </c:pt>
                <c:pt idx="28">
                  <c:v>-9.1601998139960745</c:v>
                </c:pt>
                <c:pt idx="29">
                  <c:v>-9.1557295888730597</c:v>
                </c:pt>
                <c:pt idx="30">
                  <c:v>-9.1508322415221812</c:v>
                </c:pt>
                <c:pt idx="31">
                  <c:v>-9.1454673946558032</c:v>
                </c:pt>
                <c:pt idx="32">
                  <c:v>-9.1395909402985023</c:v>
                </c:pt>
                <c:pt idx="33">
                  <c:v>-9.1331547122043091</c:v>
                </c:pt>
                <c:pt idx="34">
                  <c:v>-9.1261061329052104</c:v>
                </c:pt>
                <c:pt idx="35">
                  <c:v>-9.1183878341072635</c:v>
                </c:pt>
                <c:pt idx="36">
                  <c:v>-9.1099372492397706</c:v>
                </c:pt>
                <c:pt idx="37">
                  <c:v>-9.1006861770831176</c:v>
                </c:pt>
                <c:pt idx="38">
                  <c:v>-9.0905603155797614</c:v>
                </c:pt>
                <c:pt idx="39">
                  <c:v>-9.0794787651671331</c:v>
                </c:pt>
                <c:pt idx="40">
                  <c:v>-9.0673535012724606</c:v>
                </c:pt>
                <c:pt idx="41">
                  <c:v>-9.0540888159998421</c:v>
                </c:pt>
                <c:pt idx="42">
                  <c:v>-9.0395807295153556</c:v>
                </c:pt>
                <c:pt idx="43">
                  <c:v>-9.0237163722210809</c:v>
                </c:pt>
                <c:pt idx="44">
                  <c:v>-9.0063733395137149</c:v>
                </c:pt>
                <c:pt idx="45">
                  <c:v>-8.9874190217557732</c:v>
                </c:pt>
                <c:pt idx="46">
                  <c:v>-8.9667099130627275</c:v>
                </c:pt>
                <c:pt idx="47">
                  <c:v>-8.9440909036381342</c:v>
                </c:pt>
                <c:pt idx="48">
                  <c:v>-8.9193945616637613</c:v>
                </c:pt>
                <c:pt idx="49">
                  <c:v>-8.8924404121916627</c:v>
                </c:pt>
                <c:pt idx="50">
                  <c:v>-8.8630342220590315</c:v>
                </c:pt>
                <c:pt idx="51">
                  <c:v>-8.8309673015567718</c:v>
                </c:pt>
                <c:pt idx="52">
                  <c:v>-8.7960158353796043</c:v>
                </c:pt>
                <c:pt idx="53">
                  <c:v>-8.7579402572352176</c:v>
                </c:pt>
                <c:pt idx="54">
                  <c:v>-8.7164846843152581</c:v>
                </c:pt>
                <c:pt idx="55">
                  <c:v>-8.671376429549408</c:v>
                </c:pt>
                <c:pt idx="56">
                  <c:v>-8.622325611054853</c:v>
                </c:pt>
                <c:pt idx="57">
                  <c:v>-8.5690248793194694</c:v>
                </c:pt>
                <c:pt idx="58">
                  <c:v>-8.511149283247061</c:v>
                </c:pt>
                <c:pt idx="59">
                  <c:v>-8.4483562960503313</c:v>
                </c:pt>
                <c:pt idx="60">
                  <c:v>-8.3802860208877927</c:v>
                </c:pt>
                <c:pt idx="61">
                  <c:v>-8.3065615938714235</c:v>
                </c:pt>
                <c:pt idx="62">
                  <c:v>-8.2267897983945186</c:v>
                </c:pt>
                <c:pt idx="63">
                  <c:v>-8.140561899418481</c:v>
                </c:pt>
                <c:pt idx="64">
                  <c:v>-8.0474546992407721</c:v>
                </c:pt>
                <c:pt idx="65">
                  <c:v>-7.9470318072084654</c:v>
                </c:pt>
                <c:pt idx="66">
                  <c:v>-7.8388451048116234</c:v>
                </c:pt>
                <c:pt idx="67">
                  <c:v>-7.7224363746512283</c:v>
                </c:pt>
                <c:pt idx="68">
                  <c:v>-7.5973390471254989</c:v>
                </c:pt>
                <c:pt idx="69">
                  <c:v>-7.4630800026586774</c:v>
                </c:pt>
                <c:pt idx="70">
                  <c:v>-7.3191813503829906</c:v>
                </c:pt>
                <c:pt idx="71">
                  <c:v>-7.1651620869756787</c:v>
                </c:pt>
                <c:pt idx="72">
                  <c:v>-7.0005395225359219</c:v>
                </c:pt>
                <c:pt idx="73">
                  <c:v>-6.8248303446509482</c:v>
                </c:pt>
                <c:pt idx="74">
                  <c:v>-6.6375511777895291</c:v>
                </c:pt>
                <c:pt idx="75">
                  <c:v>-6.4382184833391491</c:v>
                </c:pt>
                <c:pt idx="76">
                  <c:v>-6.2263476361656913</c:v>
                </c:pt>
                <c:pt idx="77">
                  <c:v>-6.0014510063344604</c:v>
                </c:pt>
                <c:pt idx="78">
                  <c:v>-5.7630348689080337</c:v>
                </c:pt>
                <c:pt idx="79">
                  <c:v>-5.510594959292483</c:v>
                </c:pt>
                <c:pt idx="80">
                  <c:v>-5.2436104845596425</c:v>
                </c:pt>
                <c:pt idx="81">
                  <c:v>-4.961536389990421</c:v>
                </c:pt>
                <c:pt idx="82">
                  <c:v>-4.6637936615106854</c:v>
                </c:pt>
                <c:pt idx="83">
                  <c:v>-4.3497574147237978</c:v>
                </c:pt>
                <c:pt idx="84">
                  <c:v>-4.0187424750491356</c:v>
                </c:pt>
                <c:pt idx="85">
                  <c:v>-3.6699860852130852</c:v>
                </c:pt>
                <c:pt idx="86">
                  <c:v>-3.3026272789032411</c:v>
                </c:pt>
                <c:pt idx="87">
                  <c:v>-2.9156823239925784</c:v>
                </c:pt>
                <c:pt idx="88">
                  <c:v>-2.5080154542900965</c:v>
                </c:pt>
                <c:pt idx="89">
                  <c:v>-2.0783038612064129</c:v>
                </c:pt>
                <c:pt idx="90">
                  <c:v>-1.6249955882129163</c:v>
                </c:pt>
                <c:pt idx="91">
                  <c:v>-1.1462585396322118</c:v>
                </c:pt>
                <c:pt idx="92">
                  <c:v>-0.63991825621987064</c:v>
                </c:pt>
                <c:pt idx="93">
                  <c:v>-0.10338140031396009</c:v>
                </c:pt>
                <c:pt idx="94">
                  <c:v>0.46645897269486225</c:v>
                </c:pt>
                <c:pt idx="95">
                  <c:v>1.0733412509071263</c:v>
                </c:pt>
                <c:pt idx="96">
                  <c:v>1.7217819720958549</c:v>
                </c:pt>
                <c:pt idx="97">
                  <c:v>2.4172573082544315</c:v>
                </c:pt>
                <c:pt idx="98">
                  <c:v>3.1664230164634155</c:v>
                </c:pt>
                <c:pt idx="99">
                  <c:v>3.9773676964141624</c:v>
                </c:pt>
                <c:pt idx="100">
                  <c:v>4.8598677632226845</c:v>
                </c:pt>
                <c:pt idx="101">
                  <c:v>5.8255400518297122</c:v>
                </c:pt>
                <c:pt idx="102">
                  <c:v>6.887594237154274</c:v>
                </c:pt>
                <c:pt idx="103">
                  <c:v>8.059371800736324</c:v>
                </c:pt>
                <c:pt idx="104">
                  <c:v>9.349496656298049</c:v>
                </c:pt>
                <c:pt idx="105">
                  <c:v>10.748038750836656</c:v>
                </c:pt>
                <c:pt idx="106">
                  <c:v>12.191146635841845</c:v>
                </c:pt>
                <c:pt idx="107">
                  <c:v>13.489275385249295</c:v>
                </c:pt>
                <c:pt idx="108">
                  <c:v>14.267724272165175</c:v>
                </c:pt>
                <c:pt idx="109">
                  <c:v>14.153305301714195</c:v>
                </c:pt>
                <c:pt idx="110">
                  <c:v>13.194979597355607</c:v>
                </c:pt>
                <c:pt idx="111">
                  <c:v>11.798728784955744</c:v>
                </c:pt>
                <c:pt idx="112">
                  <c:v>10.306362317649826</c:v>
                </c:pt>
                <c:pt idx="113">
                  <c:v>8.8764152253966984</c:v>
                </c:pt>
                <c:pt idx="114">
                  <c:v>7.5578789374224931</c:v>
                </c:pt>
                <c:pt idx="115">
                  <c:v>6.3550157388000006</c:v>
                </c:pt>
                <c:pt idx="116">
                  <c:v>5.257299745338214</c:v>
                </c:pt>
                <c:pt idx="117">
                  <c:v>4.2508489826663842</c:v>
                </c:pt>
                <c:pt idx="118">
                  <c:v>3.322349898864918</c:v>
                </c:pt>
                <c:pt idx="119">
                  <c:v>2.4601817465240976</c:v>
                </c:pt>
                <c:pt idx="120">
                  <c:v>1.6545491896683182</c:v>
                </c:pt>
                <c:pt idx="121">
                  <c:v>0.89729676918315138</c:v>
                </c:pt>
                <c:pt idx="122">
                  <c:v>0.18165055490676574</c:v>
                </c:pt>
                <c:pt idx="123">
                  <c:v>-0.49802862377638912</c:v>
                </c:pt>
                <c:pt idx="124">
                  <c:v>-1.1464560522790592</c:v>
                </c:pt>
                <c:pt idx="125">
                  <c:v>-1.7675954896076982</c:v>
                </c:pt>
                <c:pt idx="126">
                  <c:v>-2.3647974453786622</c:v>
                </c:pt>
                <c:pt idx="127">
                  <c:v>-2.9409093786824285</c:v>
                </c:pt>
                <c:pt idx="128">
                  <c:v>-3.4983634690751697</c:v>
                </c:pt>
                <c:pt idx="129">
                  <c:v>-4.0392467059595507</c:v>
                </c:pt>
                <c:pt idx="130">
                  <c:v>-4.5653570949321347</c:v>
                </c:pt>
                <c:pt idx="131">
                  <c:v>-5.0782489538374467</c:v>
                </c:pt>
                <c:pt idx="132">
                  <c:v>-5.5792696018006351</c:v>
                </c:pt>
                <c:pt idx="133">
                  <c:v>-6.0695892195224026</c:v>
                </c:pt>
                <c:pt idx="134">
                  <c:v>-6.550225253706909</c:v>
                </c:pt>
                <c:pt idx="135">
                  <c:v>-7.0220624273423624</c:v>
                </c:pt>
                <c:pt idx="136">
                  <c:v>-7.4858691788967571</c:v>
                </c:pt>
                <c:pt idx="137">
                  <c:v>-7.9423111699484998</c:v>
                </c:pt>
                <c:pt idx="138">
                  <c:v>-8.3919623589120977</c:v>
                </c:pt>
                <c:pt idx="139">
                  <c:v>-8.8353140281509752</c:v>
                </c:pt>
                <c:pt idx="140">
                  <c:v>-9.2727820652265986</c:v>
                </c:pt>
                <c:pt idx="141">
                  <c:v>-9.7047127306003418</c:v>
                </c:pt>
                <c:pt idx="142">
                  <c:v>-10.131387089527514</c:v>
                </c:pt>
                <c:pt idx="143">
                  <c:v>-10.553024242033677</c:v>
                </c:pt>
                <c:pt idx="144">
                  <c:v>-10.969783449499511</c:v>
                </c:pt>
                <c:pt idx="145">
                  <c:v>-11.381765227942772</c:v>
                </c:pt>
                <c:pt idx="146">
                  <c:v>-11.78901145561214</c:v>
                </c:pt>
                <c:pt idx="147">
                  <c:v>-12.191504525553388</c:v>
                </c:pt>
                <c:pt idx="148">
                  <c:v>-12.589165562410468</c:v>
                </c:pt>
                <c:pt idx="149">
                  <c:v>-12.981851717425798</c:v>
                </c:pt>
                <c:pt idx="150">
                  <c:v>-13.369352557443859</c:v>
                </c:pt>
                <c:pt idx="151">
                  <c:v>-13.75138557427981</c:v>
                </c:pt>
                <c:pt idx="152">
                  <c:v>-14.127590862220362</c:v>
                </c:pt>
                <c:pt idx="153">
                  <c:v>-14.497525046320385</c:v>
                </c:pt>
                <c:pt idx="154">
                  <c:v>-14.860654595607024</c:v>
                </c:pt>
                <c:pt idx="155">
                  <c:v>-15.216348726522938</c:v>
                </c:pt>
                <c:pt idx="156">
                  <c:v>-15.563872195855703</c:v>
                </c:pt>
                <c:pt idx="157">
                  <c:v>-15.902378400864556</c:v>
                </c:pt>
                <c:pt idx="158">
                  <c:v>-16.230903346960478</c:v>
                </c:pt>
                <c:pt idx="159">
                  <c:v>-16.5483612059205</c:v>
                </c:pt>
                <c:pt idx="160">
                  <c:v>-16.853542360172543</c:v>
                </c:pt>
                <c:pt idx="161">
                  <c:v>-17.145114993070727</c:v>
                </c:pt>
                <c:pt idx="162">
                  <c:v>-17.421631413201442</c:v>
                </c:pt>
                <c:pt idx="163">
                  <c:v>-17.681540353817123</c:v>
                </c:pt>
                <c:pt idx="164">
                  <c:v>-17.92320641863839</c:v>
                </c:pt>
                <c:pt idx="165">
                  <c:v>-18.144937601186676</c:v>
                </c:pt>
                <c:pt idx="166">
                  <c:v>-18.345021342437718</c:v>
                </c:pt>
                <c:pt idx="167">
                  <c:v>-18.521768889804783</c:v>
                </c:pt>
                <c:pt idx="168">
                  <c:v>-18.67356679996</c:v>
                </c:pt>
                <c:pt idx="169">
                  <c:v>-18.798933367598391</c:v>
                </c:pt>
                <c:pt idx="170">
                  <c:v>-18.896576705342444</c:v>
                </c:pt>
                <c:pt idx="171">
                  <c:v>-18.96545034213052</c:v>
                </c:pt>
                <c:pt idx="172">
                  <c:v>-19.004801760909551</c:v>
                </c:pt>
                <c:pt idx="173">
                  <c:v>-19.014209435260085</c:v>
                </c:pt>
                <c:pt idx="174">
                  <c:v>-18.993604724677859</c:v>
                </c:pt>
                <c:pt idx="175">
                  <c:v>-18.943276385496802</c:v>
                </c:pt>
                <c:pt idx="176">
                  <c:v>-18.863857241075436</c:v>
                </c:pt>
                <c:pt idx="177">
                  <c:v>-18.75629442280286</c:v>
                </c:pt>
                <c:pt idx="178">
                  <c:v>-18.621806213111761</c:v>
                </c:pt>
                <c:pt idx="179">
                  <c:v>-18.461829628530435</c:v>
                </c:pt>
                <c:pt idx="180">
                  <c:v>-18.277963338680053</c:v>
                </c:pt>
                <c:pt idx="181">
                  <c:v>-18.071910337350936</c:v>
                </c:pt>
                <c:pt idx="182">
                  <c:v>-17.84542409785724</c:v>
                </c:pt>
                <c:pt idx="183">
                  <c:v>-17.60026095808734</c:v>
                </c:pt>
                <c:pt idx="184">
                  <c:v>-17.338140400588948</c:v>
                </c:pt>
                <c:pt idx="185">
                  <c:v>-17.060713891249129</c:v>
                </c:pt>
                <c:pt idx="186">
                  <c:v>-16.769542126946877</c:v>
                </c:pt>
                <c:pt idx="187">
                  <c:v>-16.466079965214952</c:v>
                </c:pt>
                <c:pt idx="188">
                  <c:v>-16.151667964205913</c:v>
                </c:pt>
                <c:pt idx="189">
                  <c:v>-15.827529313988391</c:v>
                </c:pt>
                <c:pt idx="190">
                  <c:v>-15.494770940894426</c:v>
                </c:pt>
                <c:pt idx="191">
                  <c:v>-15.154387664855619</c:v>
                </c:pt>
                <c:pt idx="192">
                  <c:v>-14.807268441788127</c:v>
                </c:pt>
                <c:pt idx="193">
                  <c:v>-14.454203895860749</c:v>
                </c:pt>
                <c:pt idx="194">
                  <c:v>-14.095894517198357</c:v>
                </c:pt>
                <c:pt idx="195">
                  <c:v>-13.732959055587921</c:v>
                </c:pt>
                <c:pt idx="196">
                  <c:v>-13.365942773382196</c:v>
                </c:pt>
                <c:pt idx="197">
                  <c:v>-12.995325329092264</c:v>
                </c:pt>
                <c:pt idx="198">
                  <c:v>-12.62152814817693</c:v>
                </c:pt>
                <c:pt idx="199">
                  <c:v>-12.244921201897114</c:v>
                </c:pt>
                <c:pt idx="200">
                  <c:v>-11.865829162099867</c:v>
                </c:pt>
              </c:numCache>
            </c:numRef>
          </c:yVal>
          <c:smooth val="1"/>
        </c:ser>
        <c:ser>
          <c:idx val="4"/>
          <c:order val="2"/>
          <c:tx>
            <c:v>Tv(s) Gain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Compensation!$AC$64:$AC$264</c:f>
              <c:numCache>
                <c:formatCode>General</c:formatCode>
                <c:ptCount val="201"/>
                <c:pt idx="0">
                  <c:v>14.90387617954768</c:v>
                </c:pt>
                <c:pt idx="1">
                  <c:v>14.903913386680035</c:v>
                </c:pt>
                <c:pt idx="2">
                  <c:v>14.903954183658074</c:v>
                </c:pt>
                <c:pt idx="3">
                  <c:v>14.903998916857898</c:v>
                </c:pt>
                <c:pt idx="4">
                  <c:v>14.904047966080121</c:v>
                </c:pt>
                <c:pt idx="5">
                  <c:v>14.904101747776169</c:v>
                </c:pt>
                <c:pt idx="6">
                  <c:v>14.904160718585802</c:v>
                </c:pt>
                <c:pt idx="7">
                  <c:v>14.904225379216804</c:v>
                </c:pt>
                <c:pt idx="8">
                  <c:v>14.904296278698554</c:v>
                </c:pt>
                <c:pt idx="9">
                  <c:v>14.904374019047221</c:v>
                </c:pt>
                <c:pt idx="10">
                  <c:v>14.904459260381405</c:v>
                </c:pt>
                <c:pt idx="11">
                  <c:v>14.90455272653146</c:v>
                </c:pt>
                <c:pt idx="12">
                  <c:v>14.904655211192265</c:v>
                </c:pt>
                <c:pt idx="13">
                  <c:v>14.904767584668623</c:v>
                </c:pt>
                <c:pt idx="14">
                  <c:v>14.904890801274799</c:v>
                </c:pt>
                <c:pt idx="15">
                  <c:v>14.905025907447927</c:v>
                </c:pt>
                <c:pt idx="16">
                  <c:v>14.905174050646226</c:v>
                </c:pt>
                <c:pt idx="17">
                  <c:v>14.90533648910869</c:v>
                </c:pt>
                <c:pt idx="18">
                  <c:v>14.905514602557854</c:v>
                </c:pt>
                <c:pt idx="19">
                  <c:v>14.905709903938975</c:v>
                </c:pt>
                <c:pt idx="20">
                  <c:v>14.90592405229501</c:v>
                </c:pt>
                <c:pt idx="21">
                  <c:v>14.906158866889163</c:v>
                </c:pt>
                <c:pt idx="22">
                  <c:v>14.906416342693747</c:v>
                </c:pt>
                <c:pt idx="23">
                  <c:v>14.906698667381574</c:v>
                </c:pt>
                <c:pt idx="24">
                  <c:v>14.907008239963346</c:v>
                </c:pt>
                <c:pt idx="25">
                  <c:v>14.907347691232664</c:v>
                </c:pt>
                <c:pt idx="26">
                  <c:v>14.90771990619576</c:v>
                </c:pt>
                <c:pt idx="27">
                  <c:v>14.908128048677099</c:v>
                </c:pt>
                <c:pt idx="28">
                  <c:v>14.908575588316479</c:v>
                </c:pt>
                <c:pt idx="29">
                  <c:v>14.909066330190582</c:v>
                </c:pt>
                <c:pt idx="30">
                  <c:v>14.909604447314464</c:v>
                </c:pt>
                <c:pt idx="31">
                  <c:v>14.910194516308762</c:v>
                </c:pt>
                <c:pt idx="32">
                  <c:v>14.910841556541003</c:v>
                </c:pt>
                <c:pt idx="33">
                  <c:v>14.911551073085212</c:v>
                </c:pt>
                <c:pt idx="34">
                  <c:v>14.912329103874608</c:v>
                </c:pt>
                <c:pt idx="35">
                  <c:v>14.913182271463794</c:v>
                </c:pt>
                <c:pt idx="36">
                  <c:v>14.914117839855692</c:v>
                </c:pt>
                <c:pt idx="37">
                  <c:v>14.915143776897716</c:v>
                </c:pt>
                <c:pt idx="38">
                  <c:v>14.9162688228008</c:v>
                </c:pt>
                <c:pt idx="39">
                  <c:v>14.917502565394225</c:v>
                </c:pt>
                <c:pt idx="40">
                  <c:v>14.918855522789709</c:v>
                </c:pt>
                <c:pt idx="41">
                  <c:v>14.920339234202959</c:v>
                </c:pt>
                <c:pt idx="42">
                  <c:v>14.921966359752732</c:v>
                </c:pt>
                <c:pt idx="43">
                  <c:v>14.923750790151422</c:v>
                </c:pt>
                <c:pt idx="44">
                  <c:v>14.925707767292558</c:v>
                </c:pt>
                <c:pt idx="45">
                  <c:v>14.92785401685145</c:v>
                </c:pt>
                <c:pt idx="46">
                  <c:v>14.930207894135783</c:v>
                </c:pt>
                <c:pt idx="47">
                  <c:v>14.932789544556833</c:v>
                </c:pt>
                <c:pt idx="48">
                  <c:v>14.93562108024673</c:v>
                </c:pt>
                <c:pt idx="49">
                  <c:v>14.938726774512068</c:v>
                </c:pt>
                <c:pt idx="50">
                  <c:v>14.942133276012015</c:v>
                </c:pt>
                <c:pt idx="51">
                  <c:v>14.945869844758645</c:v>
                </c:pt>
                <c:pt idx="52">
                  <c:v>14.949968612286499</c:v>
                </c:pt>
                <c:pt idx="53">
                  <c:v>14.95446486860904</c:v>
                </c:pt>
                <c:pt idx="54">
                  <c:v>14.959397378897506</c:v>
                </c:pt>
                <c:pt idx="55">
                  <c:v>14.96480873316929</c:v>
                </c:pt>
                <c:pt idx="56">
                  <c:v>14.970745732680932</c:v>
                </c:pt>
                <c:pt idx="57">
                  <c:v>14.977259817185704</c:v>
                </c:pt>
                <c:pt idx="58">
                  <c:v>14.984407537742774</c:v>
                </c:pt>
                <c:pt idx="59">
                  <c:v>14.992251080381376</c:v>
                </c:pt>
                <c:pt idx="60">
                  <c:v>15.000858846623931</c:v>
                </c:pt>
                <c:pt idx="61">
                  <c:v>15.010306097688041</c:v>
                </c:pt>
                <c:pt idx="62">
                  <c:v>15.020675670130606</c:v>
                </c:pt>
                <c:pt idx="63">
                  <c:v>15.032058771799232</c:v>
                </c:pt>
                <c:pt idx="64">
                  <c:v>15.044555868237353</c:v>
                </c:pt>
                <c:pt idx="65">
                  <c:v>15.058277671194237</c:v>
                </c:pt>
                <c:pt idx="66">
                  <c:v>15.073346242661742</c:v>
                </c:pt>
                <c:pt idx="67">
                  <c:v>15.089896229943939</c:v>
                </c:pt>
                <c:pt idx="68">
                  <c:v>15.108076249742652</c:v>
                </c:pt>
                <c:pt idx="69">
                  <c:v>15.128050442179006</c:v>
                </c:pt>
                <c:pt idx="70">
                  <c:v>15.15000021918339</c:v>
                </c:pt>
                <c:pt idx="71">
                  <c:v>15.174126235898523</c:v>
                </c:pt>
                <c:pt idx="72">
                  <c:v>15.200650618799649</c:v>
                </c:pt>
                <c:pt idx="73">
                  <c:v>15.229819490368289</c:v>
                </c:pt>
                <c:pt idx="74">
                  <c:v>15.261905837588998</c:v>
                </c:pt>
                <c:pt idx="75">
                  <c:v>15.297212780610073</c:v>
                </c:pt>
                <c:pt idx="76">
                  <c:v>15.336077309030671</c:v>
                </c:pt>
                <c:pt idx="77">
                  <c:v>15.378874566960281</c:v>
                </c:pt>
                <c:pt idx="78">
                  <c:v>15.42602278494072</c:v>
                </c:pt>
                <c:pt idx="79">
                  <c:v>15.47798897788676</c:v>
                </c:pt>
                <c:pt idx="80">
                  <c:v>15.535295554542255</c:v>
                </c:pt>
                <c:pt idx="81">
                  <c:v>15.59852801705485</c:v>
                </c:pt>
                <c:pt idx="82">
                  <c:v>15.66834397110696</c:v>
                </c:pt>
                <c:pt idx="83">
                  <c:v>15.745483720203246</c:v>
                </c:pt>
                <c:pt idx="84">
                  <c:v>15.8307827856293</c:v>
                </c:pt>
                <c:pt idx="85">
                  <c:v>15.925186780846811</c:v>
                </c:pt>
                <c:pt idx="86">
                  <c:v>16.029769181745369</c:v>
                </c:pt>
                <c:pt idx="87">
                  <c:v>16.145752680345606</c:v>
                </c:pt>
                <c:pt idx="88">
                  <c:v>16.274534999978385</c:v>
                </c:pt>
                <c:pt idx="89">
                  <c:v>16.41772029876438</c:v>
                </c:pt>
                <c:pt idx="90">
                  <c:v>16.57715761357807</c:v>
                </c:pt>
                <c:pt idx="91">
                  <c:v>16.754988221111958</c:v>
                </c:pt>
                <c:pt idx="92">
                  <c:v>16.953704341879718</c:v>
                </c:pt>
                <c:pt idx="93">
                  <c:v>17.17622231075951</c:v>
                </c:pt>
                <c:pt idx="94">
                  <c:v>17.425974190627361</c:v>
                </c:pt>
                <c:pt idx="95">
                  <c:v>17.707022763310622</c:v>
                </c:pt>
                <c:pt idx="96">
                  <c:v>18.02420568635619</c:v>
                </c:pt>
                <c:pt idx="97">
                  <c:v>18.383314739140562</c:v>
                </c:pt>
                <c:pt idx="98">
                  <c:v>18.791313850355785</c:v>
                </c:pt>
                <c:pt idx="99">
                  <c:v>19.256590742177579</c:v>
                </c:pt>
                <c:pt idx="100">
                  <c:v>19.78921058732216</c:v>
                </c:pt>
                <c:pt idx="101">
                  <c:v>20.401067577171421</c:v>
                </c:pt>
                <c:pt idx="102">
                  <c:v>21.105636562945428</c:v>
                </c:pt>
                <c:pt idx="103">
                  <c:v>21.916511475846853</c:v>
                </c:pt>
                <c:pt idx="104">
                  <c:v>22.84255561243604</c:v>
                </c:pt>
                <c:pt idx="105">
                  <c:v>23.874065075359823</c:v>
                </c:pt>
                <c:pt idx="106">
                  <c:v>24.947401338053623</c:v>
                </c:pt>
                <c:pt idx="107">
                  <c:v>25.873219285197642</c:v>
                </c:pt>
                <c:pt idx="108">
                  <c:v>26.277005117723562</c:v>
                </c:pt>
                <c:pt idx="109">
                  <c:v>25.785745198366442</c:v>
                </c:pt>
                <c:pt idx="110">
                  <c:v>24.448562815788577</c:v>
                </c:pt>
                <c:pt idx="111">
                  <c:v>22.671589994335228</c:v>
                </c:pt>
                <c:pt idx="112">
                  <c:v>20.796775277285242</c:v>
                </c:pt>
                <c:pt idx="113">
                  <c:v>18.982781954297547</c:v>
                </c:pt>
                <c:pt idx="114">
                  <c:v>17.278719369873286</c:v>
                </c:pt>
                <c:pt idx="115">
                  <c:v>15.68895786437073</c:v>
                </c:pt>
                <c:pt idx="116">
                  <c:v>14.203070223517024</c:v>
                </c:pt>
                <c:pt idx="117">
                  <c:v>12.80726421536607</c:v>
                </c:pt>
                <c:pt idx="118">
                  <c:v>11.488307538218205</c:v>
                </c:pt>
                <c:pt idx="119">
                  <c:v>10.234652610463712</c:v>
                </c:pt>
                <c:pt idx="120">
                  <c:v>9.0365695536014776</c:v>
                </c:pt>
                <c:pt idx="121">
                  <c:v>7.885960998445233</c:v>
                </c:pt>
                <c:pt idx="122">
                  <c:v>6.7761040394508418</c:v>
                </c:pt>
                <c:pt idx="123">
                  <c:v>5.7014037260138997</c:v>
                </c:pt>
                <c:pt idx="124">
                  <c:v>4.6571824043945567</c:v>
                </c:pt>
                <c:pt idx="125">
                  <c:v>3.6395075277934392</c:v>
                </c:pt>
                <c:pt idx="126">
                  <c:v>2.6450534976441542</c:v>
                </c:pt>
                <c:pt idx="127">
                  <c:v>1.6709915289742181</c:v>
                </c:pt>
                <c:pt idx="128">
                  <c:v>0.71490188553605449</c:v>
                </c:pt>
                <c:pt idx="129">
                  <c:v>-0.22529626623212479</c:v>
                </c:pt>
                <c:pt idx="130">
                  <c:v>-1.1514011884952753</c:v>
                </c:pt>
                <c:pt idx="131">
                  <c:v>-2.0649740677986452</c:v>
                </c:pt>
                <c:pt idx="132">
                  <c:v>-2.9673759863066262</c:v>
                </c:pt>
                <c:pt idx="133">
                  <c:v>-3.8597981558855854</c:v>
                </c:pt>
                <c:pt idx="134">
                  <c:v>-4.743286798643032</c:v>
                </c:pt>
                <c:pt idx="135">
                  <c:v>-5.6187637482747634</c:v>
                </c:pt>
                <c:pt idx="136">
                  <c:v>-6.4870436100716091</c:v>
                </c:pt>
                <c:pt idx="137">
                  <c:v>-7.3488481363567262</c:v>
                </c:pt>
                <c:pt idx="138">
                  <c:v>-8.2048183350156254</c:v>
                </c:pt>
                <c:pt idx="139">
                  <c:v>-9.0555247214845345</c:v>
                </c:pt>
                <c:pt idx="140">
                  <c:v>-9.9014760413701488</c:v>
                </c:pt>
                <c:pt idx="141">
                  <c:v>-10.74312672605366</c:v>
                </c:pt>
                <c:pt idx="142">
                  <c:v>-11.580883292835862</c:v>
                </c:pt>
                <c:pt idx="143">
                  <c:v>-12.415109861156242</c:v>
                </c:pt>
                <c:pt idx="144">
                  <c:v>-13.246132924712983</c:v>
                </c:pt>
                <c:pt idx="145">
                  <c:v>-14.074245494052507</c:v>
                </c:pt>
                <c:pt idx="146">
                  <c:v>-14.899710703967719</c:v>
                </c:pt>
                <c:pt idx="147">
                  <c:v>-15.722764963759415</c:v>
                </c:pt>
                <c:pt idx="148">
                  <c:v>-16.54362071523493</c:v>
                </c:pt>
                <c:pt idx="149">
                  <c:v>-17.362468852599928</c:v>
                </c:pt>
                <c:pt idx="150">
                  <c:v>-18.179480849635251</c:v>
                </c:pt>
                <c:pt idx="151">
                  <c:v>-18.994810632357492</c:v>
                </c:pt>
                <c:pt idx="152">
                  <c:v>-19.808596229420679</c:v>
                </c:pt>
                <c:pt idx="153">
                  <c:v>-20.620961227593039</c:v>
                </c:pt>
                <c:pt idx="154">
                  <c:v>-21.432016055541396</c:v>
                </c:pt>
                <c:pt idx="155">
                  <c:v>-22.241859115722718</c:v>
                </c:pt>
                <c:pt idx="156">
                  <c:v>-23.050577781297577</c:v>
                </c:pt>
                <c:pt idx="157">
                  <c:v>-23.858249272542675</c:v>
                </c:pt>
                <c:pt idx="158">
                  <c:v>-24.664941425174259</c:v>
                </c:pt>
                <c:pt idx="159">
                  <c:v>-25.470713361234139</c:v>
                </c:pt>
                <c:pt idx="160">
                  <c:v>-26.275616071682187</c:v>
                </c:pt>
                <c:pt idx="161">
                  <c:v>-27.079692918547678</c:v>
                </c:pt>
                <c:pt idx="162">
                  <c:v>-27.88298006337763</c:v>
                </c:pt>
                <c:pt idx="163">
                  <c:v>-28.685506827753365</c:v>
                </c:pt>
                <c:pt idx="164">
                  <c:v>-29.48729599081517</c:v>
                </c:pt>
                <c:pt idx="165">
                  <c:v>-30.288364028002754</c:v>
                </c:pt>
                <c:pt idx="166">
                  <c:v>-31.088721294599772</c:v>
                </c:pt>
                <c:pt idx="167">
                  <c:v>-31.888372157112567</c:v>
                </c:pt>
                <c:pt idx="168">
                  <c:v>-32.687315075056766</c:v>
                </c:pt>
                <c:pt idx="169">
                  <c:v>-33.485542635314587</c:v>
                </c:pt>
                <c:pt idx="170">
                  <c:v>-34.283041540898495</c:v>
                </c:pt>
                <c:pt idx="171">
                  <c:v>-35.07979255567885</c:v>
                </c:pt>
                <c:pt idx="172">
                  <c:v>-35.875770406428082</c:v>
                </c:pt>
                <c:pt idx="173">
                  <c:v>-36.670943643382955</c:v>
                </c:pt>
                <c:pt idx="174">
                  <c:v>-37.465274460450985</c:v>
                </c:pt>
                <c:pt idx="175">
                  <c:v>-38.258718476172554</c:v>
                </c:pt>
                <c:pt idx="176">
                  <c:v>-39.051224476622096</c:v>
                </c:pt>
                <c:pt idx="177">
                  <c:v>-39.84273412157907</c:v>
                </c:pt>
                <c:pt idx="178">
                  <c:v>-40.633181615549461</c:v>
                </c:pt>
                <c:pt idx="179">
                  <c:v>-41.422493345560966</c:v>
                </c:pt>
                <c:pt idx="180">
                  <c:v>-42.210587488122925</c:v>
                </c:pt>
                <c:pt idx="181">
                  <c:v>-42.997373588331328</c:v>
                </c:pt>
                <c:pt idx="182">
                  <c:v>-43.782752114829378</c:v>
                </c:pt>
                <c:pt idx="183">
                  <c:v>-44.56661399521731</c:v>
                </c:pt>
                <c:pt idx="184">
                  <c:v>-45.34884013754958</c:v>
                </c:pt>
                <c:pt idx="185">
                  <c:v>-46.129300944778116</c:v>
                </c:pt>
                <c:pt idx="186">
                  <c:v>-46.907855830392585</c:v>
                </c:pt>
                <c:pt idx="187">
                  <c:v>-47.684352745086478</c:v>
                </c:pt>
                <c:pt idx="188">
                  <c:v>-48.458627726014107</c:v>
                </c:pt>
                <c:pt idx="189">
                  <c:v>-49.230504482108273</c:v>
                </c:pt>
                <c:pt idx="190">
                  <c:v>-49.999794030939093</c:v>
                </c:pt>
                <c:pt idx="191">
                  <c:v>-50.766294404692864</c:v>
                </c:pt>
                <c:pt idx="192">
                  <c:v>-51.529790444957527</c:v>
                </c:pt>
                <c:pt idx="193">
                  <c:v>-52.290053708028601</c:v>
                </c:pt>
                <c:pt idx="194">
                  <c:v>-53.046842504298574</c:v>
                </c:pt>
                <c:pt idx="195">
                  <c:v>-53.799902096811778</c:v>
                </c:pt>
                <c:pt idx="196">
                  <c:v>-54.548965085104456</c:v>
                </c:pt>
                <c:pt idx="197">
                  <c:v>-55.293752000810997</c:v>
                </c:pt>
                <c:pt idx="198">
                  <c:v>-56.033972141007922</c:v>
                </c:pt>
                <c:pt idx="199">
                  <c:v>-56.769324663657827</c:v>
                </c:pt>
                <c:pt idx="200">
                  <c:v>-57.499499966610784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599936"/>
        <c:axId val="234601856"/>
      </c:scatterChart>
      <c:valAx>
        <c:axId val="234599936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601856"/>
        <c:crosses val="autoZero"/>
        <c:crossBetween val="midCat"/>
      </c:valAx>
      <c:valAx>
        <c:axId val="234601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Gain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5999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55345228311108"/>
          <c:y val="2.5352180375043481E-2"/>
          <c:w val="0.20258154599361949"/>
          <c:h val="0.16338057742782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53078820347722E-2"/>
          <c:y val="7.02247191011236E-2"/>
          <c:w val="0.86765409410511352"/>
          <c:h val="0.86235955056179781"/>
        </c:manualLayout>
      </c:layout>
      <c:scatterChart>
        <c:scatterStyle val="smoothMarker"/>
        <c:varyColors val="0"/>
        <c:ser>
          <c:idx val="3"/>
          <c:order val="0"/>
          <c:tx>
            <c:v> T(s) w/o Comp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Compensation!$AG$64:$AG$264</c:f>
              <c:numCache>
                <c:formatCode>General</c:formatCode>
                <c:ptCount val="201"/>
                <c:pt idx="0">
                  <c:v>12.319547015304009</c:v>
                </c:pt>
                <c:pt idx="1">
                  <c:v>12.319544540247511</c:v>
                </c:pt>
                <c:pt idx="2">
                  <c:v>12.319541826318714</c:v>
                </c:pt>
                <c:pt idx="3">
                  <c:v>12.319538850454821</c:v>
                </c:pt>
                <c:pt idx="4">
                  <c:v>12.319535587364729</c:v>
                </c:pt>
                <c:pt idx="5">
                  <c:v>12.319532009312901</c:v>
                </c:pt>
                <c:pt idx="6">
                  <c:v>12.319528085883103</c:v>
                </c:pt>
                <c:pt idx="7">
                  <c:v>12.319523783718873</c:v>
                </c:pt>
                <c:pt idx="8">
                  <c:v>12.319519066238234</c:v>
                </c:pt>
                <c:pt idx="9">
                  <c:v>12.319513893321211</c:v>
                </c:pt>
                <c:pt idx="10">
                  <c:v>12.319508220967311</c:v>
                </c:pt>
                <c:pt idx="11">
                  <c:v>12.319502000917939</c:v>
                </c:pt>
                <c:pt idx="12">
                  <c:v>12.319495180244342</c:v>
                </c:pt>
                <c:pt idx="13">
                  <c:v>12.319487700892884</c:v>
                </c:pt>
                <c:pt idx="14">
                  <c:v>12.319479499187914</c:v>
                </c:pt>
                <c:pt idx="15">
                  <c:v>12.319470505284729</c:v>
                </c:pt>
                <c:pt idx="16">
                  <c:v>12.319460642568574</c:v>
                </c:pt>
                <c:pt idx="17">
                  <c:v>12.319449826996134</c:v>
                </c:pt>
                <c:pt idx="18">
                  <c:v>12.319437966370764</c:v>
                </c:pt>
                <c:pt idx="19">
                  <c:v>12.31942495954682</c:v>
                </c:pt>
                <c:pt idx="20">
                  <c:v>12.31941069555532</c:v>
                </c:pt>
                <c:pt idx="21">
                  <c:v>12.31939505264368</c:v>
                </c:pt>
                <c:pt idx="22">
                  <c:v>12.319377897218436</c:v>
                </c:pt>
                <c:pt idx="23">
                  <c:v>12.319359082684951</c:v>
                </c:pt>
                <c:pt idx="24">
                  <c:v>12.319338448169779</c:v>
                </c:pt>
                <c:pt idx="25">
                  <c:v>12.319315817115484</c:v>
                </c:pt>
                <c:pt idx="26">
                  <c:v>12.319290995735342</c:v>
                </c:pt>
                <c:pt idx="27">
                  <c:v>12.319263771310421</c:v>
                </c:pt>
                <c:pt idx="28">
                  <c:v>12.319233910315965</c:v>
                </c:pt>
                <c:pt idx="29">
                  <c:v>12.319201156357138</c:v>
                </c:pt>
                <c:pt idx="30">
                  <c:v>12.319165227892956</c:v>
                </c:pt>
                <c:pt idx="31">
                  <c:v>12.319125815728174</c:v>
                </c:pt>
                <c:pt idx="32">
                  <c:v>12.319082580245189</c:v>
                </c:pt>
                <c:pt idx="33">
                  <c:v>12.319035148350093</c:v>
                </c:pt>
                <c:pt idx="34">
                  <c:v>12.318983110098451</c:v>
                </c:pt>
                <c:pt idx="35">
                  <c:v>12.318926014967735</c:v>
                </c:pt>
                <c:pt idx="36">
                  <c:v>12.3188633677343</c:v>
                </c:pt>
                <c:pt idx="37">
                  <c:v>12.318794623911227</c:v>
                </c:pt>
                <c:pt idx="38">
                  <c:v>12.318719184694924</c:v>
                </c:pt>
                <c:pt idx="39">
                  <c:v>12.318636391364864</c:v>
                </c:pt>
                <c:pt idx="40">
                  <c:v>12.318545519067568</c:v>
                </c:pt>
                <c:pt idx="41">
                  <c:v>12.318445769916371</c:v>
                </c:pt>
                <c:pt idx="42">
                  <c:v>12.318336265317438</c:v>
                </c:pt>
                <c:pt idx="43">
                  <c:v>12.318216037430243</c:v>
                </c:pt>
                <c:pt idx="44">
                  <c:v>12.318084019652179</c:v>
                </c:pt>
                <c:pt idx="45">
                  <c:v>12.317939036001313</c:v>
                </c:pt>
                <c:pt idx="46">
                  <c:v>12.317779789255695</c:v>
                </c:pt>
                <c:pt idx="47">
                  <c:v>12.317604847683992</c:v>
                </c:pt>
                <c:pt idx="48">
                  <c:v>12.317412630179639</c:v>
                </c:pt>
                <c:pt idx="49">
                  <c:v>12.317201389577566</c:v>
                </c:pt>
                <c:pt idx="50">
                  <c:v>12.316969193905667</c:v>
                </c:pt>
                <c:pt idx="51">
                  <c:v>12.316713905274931</c:v>
                </c:pt>
                <c:pt idx="52">
                  <c:v>12.316433156073614</c:v>
                </c:pt>
                <c:pt idx="53">
                  <c:v>12.316124322069143</c:v>
                </c:pt>
                <c:pt idx="54">
                  <c:v>12.315784491962658</c:v>
                </c:pt>
                <c:pt idx="55">
                  <c:v>12.31541043285935</c:v>
                </c:pt>
                <c:pt idx="56">
                  <c:v>12.314998551032684</c:v>
                </c:pt>
                <c:pt idx="57">
                  <c:v>12.31454484725189</c:v>
                </c:pt>
                <c:pt idx="58">
                  <c:v>12.314044865816388</c:v>
                </c:pt>
                <c:pt idx="59">
                  <c:v>12.313493636293178</c:v>
                </c:pt>
                <c:pt idx="60">
                  <c:v>12.312885606778357</c:v>
                </c:pt>
                <c:pt idx="61">
                  <c:v>12.312214567291978</c:v>
                </c:pt>
                <c:pt idx="62">
                  <c:v>12.311473561672205</c:v>
                </c:pt>
                <c:pt idx="63">
                  <c:v>12.310654786039802</c:v>
                </c:pt>
                <c:pt idx="64">
                  <c:v>12.309749471556993</c:v>
                </c:pt>
                <c:pt idx="65">
                  <c:v>12.308747748791617</c:v>
                </c:pt>
                <c:pt idx="66">
                  <c:v>12.307638490510836</c:v>
                </c:pt>
                <c:pt idx="67">
                  <c:v>12.306409129145761</c:v>
                </c:pt>
                <c:pt idx="68">
                  <c:v>12.305045444484527</c:v>
                </c:pt>
                <c:pt idx="69">
                  <c:v>12.303531316332867</c:v>
                </c:pt>
                <c:pt idx="70">
                  <c:v>12.301848435919977</c:v>
                </c:pt>
                <c:pt idx="71">
                  <c:v>12.299975968687848</c:v>
                </c:pt>
                <c:pt idx="72">
                  <c:v>12.29789015975032</c:v>
                </c:pt>
                <c:pt idx="73">
                  <c:v>12.295563871726284</c:v>
                </c:pt>
                <c:pt idx="74">
                  <c:v>12.292966042778332</c:v>
                </c:pt>
                <c:pt idx="75">
                  <c:v>12.290061050493961</c:v>
                </c:pt>
                <c:pt idx="76">
                  <c:v>12.286807964684677</c:v>
                </c:pt>
                <c:pt idx="77">
                  <c:v>12.283159669179096</c:v>
                </c:pt>
                <c:pt idx="78">
                  <c:v>12.279061829222561</c:v>
                </c:pt>
                <c:pt idx="79">
                  <c:v>12.274451677089735</c:v>
                </c:pt>
                <c:pt idx="80">
                  <c:v>12.269256583937649</c:v>
                </c:pt>
                <c:pt idx="81">
                  <c:v>12.263392380733977</c:v>
                </c:pt>
                <c:pt idx="82">
                  <c:v>12.256761385273144</c:v>
                </c:pt>
                <c:pt idx="83">
                  <c:v>12.249250085883636</c:v>
                </c:pt>
                <c:pt idx="84">
                  <c:v>12.240726425499764</c:v>
                </c:pt>
                <c:pt idx="85">
                  <c:v>12.231036622525977</c:v>
                </c:pt>
                <c:pt idx="86">
                  <c:v>12.220001457655192</c:v>
                </c:pt>
                <c:pt idx="87">
                  <c:v>12.207411949046465</c:v>
                </c:pt>
                <c:pt idx="88">
                  <c:v>12.193024332790811</c:v>
                </c:pt>
                <c:pt idx="89">
                  <c:v>12.176554262556031</c:v>
                </c:pt>
                <c:pt idx="90">
                  <c:v>12.157670143359846</c:v>
                </c:pt>
                <c:pt idx="91">
                  <c:v>12.135985521860418</c:v>
                </c:pt>
                <c:pt idx="92">
                  <c:v>12.111050472489231</c:v>
                </c:pt>
                <c:pt idx="93">
                  <c:v>12.082341949241012</c:v>
                </c:pt>
                <c:pt idx="94">
                  <c:v>12.049253122144592</c:v>
                </c:pt>
                <c:pt idx="95">
                  <c:v>12.011081791606124</c:v>
                </c:pt>
                <c:pt idx="96">
                  <c:v>11.967018080058336</c:v>
                </c:pt>
                <c:pt idx="97">
                  <c:v>11.916131746066991</c:v>
                </c:pt>
                <c:pt idx="98">
                  <c:v>11.857359657694476</c:v>
                </c:pt>
                <c:pt idx="99">
                  <c:v>11.789494202940343</c:v>
                </c:pt>
                <c:pt idx="100">
                  <c:v>11.711173702693698</c:v>
                </c:pt>
                <c:pt idx="101">
                  <c:v>11.620876212395412</c:v>
                </c:pt>
                <c:pt idx="102">
                  <c:v>11.516918422975532</c:v>
                </c:pt>
                <c:pt idx="103">
                  <c:v>11.397461648499396</c:v>
                </c:pt>
                <c:pt idx="104">
                  <c:v>11.260527041114518</c:v>
                </c:pt>
                <c:pt idx="105">
                  <c:v>11.104022103722169</c:v>
                </c:pt>
                <c:pt idx="106">
                  <c:v>10.925780165372815</c:v>
                </c:pt>
                <c:pt idx="107">
                  <c:v>10.723613643895957</c:v>
                </c:pt>
                <c:pt idx="108">
                  <c:v>10.495380595723118</c:v>
                </c:pt>
                <c:pt idx="109">
                  <c:v>10.239062293333919</c:v>
                </c:pt>
                <c:pt idx="110">
                  <c:v>9.9528475642780627</c:v>
                </c:pt>
                <c:pt idx="111">
                  <c:v>9.6352177102472982</c:v>
                </c:pt>
                <c:pt idx="112">
                  <c:v>9.2850244453986637</c:v>
                </c:pt>
                <c:pt idx="113">
                  <c:v>8.9015528969079352</c:v>
                </c:pt>
                <c:pt idx="114">
                  <c:v>8.4845625977503598</c:v>
                </c:pt>
                <c:pt idx="115">
                  <c:v>8.0343015874914219</c:v>
                </c:pt>
                <c:pt idx="116">
                  <c:v>7.5514918916090661</c:v>
                </c:pt>
                <c:pt idx="117">
                  <c:v>7.0372881603015109</c:v>
                </c:pt>
                <c:pt idx="118">
                  <c:v>6.4932143919868048</c:v>
                </c:pt>
                <c:pt idx="119">
                  <c:v>5.921085834686969</c:v>
                </c:pt>
                <c:pt idx="120">
                  <c:v>5.3229240254072199</c:v>
                </c:pt>
                <c:pt idx="121">
                  <c:v>4.700872513972838</c:v>
                </c:pt>
                <c:pt idx="122">
                  <c:v>4.0571194270561666</c:v>
                </c:pt>
                <c:pt idx="123">
                  <c:v>3.3938311081925847</c:v>
                </c:pt>
                <c:pt idx="124">
                  <c:v>2.7130990646536985</c:v>
                </c:pt>
                <c:pt idx="125">
                  <c:v>2.0169006980141639</c:v>
                </c:pt>
                <c:pt idx="126">
                  <c:v>1.3070729778588299</c:v>
                </c:pt>
                <c:pt idx="127">
                  <c:v>0.58529738462699465</c:v>
                </c:pt>
                <c:pt idx="128">
                  <c:v>-0.14690595202549603</c:v>
                </c:pt>
                <c:pt idx="129">
                  <c:v>-0.88817705898302646</c:v>
                </c:pt>
                <c:pt idx="130">
                  <c:v>-1.6373098534957065</c:v>
                </c:pt>
                <c:pt idx="131">
                  <c:v>-2.3932425109428719</c:v>
                </c:pt>
                <c:pt idx="132">
                  <c:v>-3.1550458477749248</c:v>
                </c:pt>
                <c:pt idx="133">
                  <c:v>-3.9219107804289144</c:v>
                </c:pt>
                <c:pt idx="134">
                  <c:v>-4.6931356340222692</c:v>
                </c:pt>
                <c:pt idx="135">
                  <c:v>-5.4681138343440372</c:v>
                </c:pt>
                <c:pt idx="136">
                  <c:v>-6.246322325724516</c:v>
                </c:pt>
                <c:pt idx="137">
                  <c:v>-7.0273109122900319</c:v>
                </c:pt>
                <c:pt idx="138">
                  <c:v>-7.8106926143833419</c:v>
                </c:pt>
                <c:pt idx="139">
                  <c:v>-8.5961350581896809</c:v>
                </c:pt>
                <c:pt idx="140">
                  <c:v>-9.3833528677055948</c:v>
                </c:pt>
                <c:pt idx="141">
                  <c:v>-10.172100997930771</c:v>
                </c:pt>
                <c:pt idx="142">
                  <c:v>-10.962168931387525</c:v>
                </c:pt>
                <c:pt idx="143">
                  <c:v>-11.753375652735729</c:v>
                </c:pt>
                <c:pt idx="144">
                  <c:v>-12.545565315261353</c:v>
                </c:pt>
                <c:pt idx="145">
                  <c:v>-13.338603516088776</c:v>
                </c:pt>
                <c:pt idx="146">
                  <c:v>-14.132374102455422</c:v>
                </c:pt>
                <c:pt idx="147">
                  <c:v>-14.926776438148133</c:v>
                </c:pt>
                <c:pt idx="148">
                  <c:v>-15.721723066449201</c:v>
                </c:pt>
                <c:pt idx="149">
                  <c:v>-16.51713771317392</c:v>
                </c:pt>
                <c:pt idx="150">
                  <c:v>-17.312953580280478</c:v>
                </c:pt>
                <c:pt idx="151">
                  <c:v>-18.1091118869257</c:v>
                </c:pt>
                <c:pt idx="152">
                  <c:v>-18.905560620627465</c:v>
                </c:pt>
                <c:pt idx="153">
                  <c:v>-19.702253466362116</c:v>
                </c:pt>
                <c:pt idx="154">
                  <c:v>-20.49914888597614</c:v>
                </c:pt>
                <c:pt idx="155">
                  <c:v>-21.296209324263778</c:v>
                </c:pt>
                <c:pt idx="156">
                  <c:v>-22.093400521504314</c:v>
                </c:pt>
                <c:pt idx="157">
                  <c:v>-22.890690915215632</c:v>
                </c:pt>
                <c:pt idx="158">
                  <c:v>-23.688051116419949</c:v>
                </c:pt>
                <c:pt idx="159">
                  <c:v>-24.4854534478857</c:v>
                </c:pt>
                <c:pt idx="160">
                  <c:v>-25.2828715336512</c:v>
                </c:pt>
                <c:pt idx="161">
                  <c:v>-26.080279930702478</c:v>
                </c:pt>
                <c:pt idx="162">
                  <c:v>-26.877653795005223</c:v>
                </c:pt>
                <c:pt idx="163">
                  <c:v>-27.6749685752111</c:v>
                </c:pt>
                <c:pt idx="164">
                  <c:v>-28.472199728315974</c:v>
                </c:pt>
                <c:pt idx="165">
                  <c:v>-29.269322452348053</c:v>
                </c:pt>
                <c:pt idx="166">
                  <c:v>-30.066311431864662</c:v>
                </c:pt>
                <c:pt idx="167">
                  <c:v>-30.863140592613433</c:v>
                </c:pt>
                <c:pt idx="168">
                  <c:v>-31.659782862240146</c:v>
                </c:pt>
                <c:pt idx="169">
                  <c:v>-32.456209934364253</c:v>
                </c:pt>
                <c:pt idx="170">
                  <c:v>-33.252392033756138</c:v>
                </c:pt>
                <c:pt idx="171">
                  <c:v>-34.048297680715642</c:v>
                </c:pt>
                <c:pt idx="172">
                  <c:v>-34.843893453109146</c:v>
                </c:pt>
                <c:pt idx="173">
                  <c:v>-35.639143744864782</c:v>
                </c:pt>
                <c:pt idx="174">
                  <c:v>-36.434010520081635</c:v>
                </c:pt>
                <c:pt idx="175">
                  <c:v>-37.228453062274042</c:v>
                </c:pt>
                <c:pt idx="176">
                  <c:v>-38.022427718675601</c:v>
                </c:pt>
                <c:pt idx="177">
                  <c:v>-38.815887639964295</c:v>
                </c:pt>
                <c:pt idx="178">
                  <c:v>-39.608782516271447</c:v>
                </c:pt>
                <c:pt idx="179">
                  <c:v>-40.401058310890441</c:v>
                </c:pt>
                <c:pt idx="180">
                  <c:v>-41.192656993747285</c:v>
                </c:pt>
                <c:pt idx="181">
                  <c:v>-41.983516277421728</c:v>
                </c:pt>
                <c:pt idx="182">
                  <c:v>-42.77356935933966</c:v>
                </c:pt>
                <c:pt idx="183">
                  <c:v>-43.562744674699118</c:v>
                </c:pt>
                <c:pt idx="184">
                  <c:v>-44.350965665752028</c:v>
                </c:pt>
                <c:pt idx="185">
                  <c:v>-45.138150574247284</c:v>
                </c:pt>
                <c:pt idx="186">
                  <c:v>-45.924212265141655</c:v>
                </c:pt>
                <c:pt idx="187">
                  <c:v>-46.709058091106037</c:v>
                </c:pt>
                <c:pt idx="188">
                  <c:v>-47.492589808860295</c:v>
                </c:pt>
                <c:pt idx="189">
                  <c:v>-48.274703559963754</c:v>
                </c:pt>
                <c:pt idx="190">
                  <c:v>-49.055289930289554</c:v>
                </c:pt>
                <c:pt idx="191">
                  <c:v>-49.83423410399655</c:v>
                </c:pt>
                <c:pt idx="192">
                  <c:v>-50.611416129286589</c:v>
                </c:pt>
                <c:pt idx="193">
                  <c:v>-51.386711314494022</c:v>
                </c:pt>
                <c:pt idx="194">
                  <c:v>-52.159990773991531</c:v>
                </c:pt>
                <c:pt idx="195">
                  <c:v>-52.931122143844277</c:v>
                </c:pt>
                <c:pt idx="196">
                  <c:v>-53.699970486943357</c:v>
                </c:pt>
                <c:pt idx="197">
                  <c:v>-54.466399406298876</c:v>
                </c:pt>
                <c:pt idx="198">
                  <c:v>-55.230272383076425</c:v>
                </c:pt>
                <c:pt idx="199">
                  <c:v>-55.991454352596826</c:v>
                </c:pt>
                <c:pt idx="200">
                  <c:v>-56.749813526705836</c:v>
                </c:pt>
              </c:numCache>
            </c:numRef>
          </c:yVal>
          <c:smooth val="1"/>
        </c:ser>
        <c:ser>
          <c:idx val="0"/>
          <c:order val="1"/>
          <c:tx>
            <c:v>Compensation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Compensation!$AX$64:$AX$264</c:f>
              <c:numCache>
                <c:formatCode>General</c:formatCode>
                <c:ptCount val="201"/>
                <c:pt idx="0">
                  <c:v>29.961107051182466</c:v>
                </c:pt>
                <c:pt idx="1">
                  <c:v>29.567843308818929</c:v>
                </c:pt>
                <c:pt idx="2">
                  <c:v>29.174024811737389</c:v>
                </c:pt>
                <c:pt idx="3">
                  <c:v>28.779701750660834</c:v>
                </c:pt>
                <c:pt idx="4">
                  <c:v>28.384920409935997</c:v>
                </c:pt>
                <c:pt idx="5">
                  <c:v>27.989723498499597</c:v>
                </c:pt>
                <c:pt idx="6">
                  <c:v>27.594150460506604</c:v>
                </c:pt>
                <c:pt idx="7">
                  <c:v>27.198237766658213</c:v>
                </c:pt>
                <c:pt idx="8">
                  <c:v>26.802019187345461</c:v>
                </c:pt>
                <c:pt idx="9">
                  <c:v>26.405526048787564</c:v>
                </c:pt>
                <c:pt idx="10">
                  <c:v>26.008787473371466</c:v>
                </c:pt>
                <c:pt idx="11">
                  <c:v>25.611830605420295</c:v>
                </c:pt>
                <c:pt idx="12">
                  <c:v>25.214680823620444</c:v>
                </c:pt>
                <c:pt idx="13">
                  <c:v>24.817361941329821</c:v>
                </c:pt>
                <c:pt idx="14">
                  <c:v>24.419896395980423</c:v>
                </c:pt>
                <c:pt idx="15">
                  <c:v>24.022305428766227</c:v>
                </c:pt>
                <c:pt idx="16">
                  <c:v>23.624609255790837</c:v>
                </c:pt>
                <c:pt idx="17">
                  <c:v>23.226827231826526</c:v>
                </c:pt>
                <c:pt idx="18">
                  <c:v>22.828978007816385</c:v>
                </c:pt>
                <c:pt idx="19">
                  <c:v>22.431079683232209</c:v>
                </c:pt>
                <c:pt idx="20">
                  <c:v>22.033149954383017</c:v>
                </c:pt>
                <c:pt idx="21">
                  <c:v>21.635206259756423</c:v>
                </c:pt>
                <c:pt idx="22">
                  <c:v>21.237265923464861</c:v>
                </c:pt>
                <c:pt idx="23">
                  <c:v>20.839346297858064</c:v>
                </c:pt>
                <c:pt idx="24">
                  <c:v>20.441464906368655</c:v>
                </c:pt>
                <c:pt idx="25">
                  <c:v>20.043639587650969</c:v>
                </c:pt>
                <c:pt idx="26">
                  <c:v>19.645888642083708</c:v>
                </c:pt>
                <c:pt idx="27">
                  <c:v>19.248230981716969</c:v>
                </c:pt>
                <c:pt idx="28">
                  <c:v>18.850686284756094</c:v>
                </c:pt>
                <c:pt idx="29">
                  <c:v>18.453275155692697</c:v>
                </c:pt>
                <c:pt idx="30">
                  <c:v>18.056019292215034</c:v>
                </c:pt>
                <c:pt idx="31">
                  <c:v>17.658941660049774</c:v>
                </c:pt>
                <c:pt idx="32">
                  <c:v>17.262066676914348</c:v>
                </c:pt>
                <c:pt idx="33">
                  <c:v>16.865420406781197</c:v>
                </c:pt>
                <c:pt idx="34">
                  <c:v>16.469030765680618</c:v>
                </c:pt>
                <c:pt idx="35">
                  <c:v>16.072927740288925</c:v>
                </c:pt>
                <c:pt idx="36">
                  <c:v>15.677143620565907</c:v>
                </c:pt>
                <c:pt idx="37">
                  <c:v>15.281713247716056</c:v>
                </c:pt>
                <c:pt idx="38">
                  <c:v>14.886674278745975</c:v>
                </c:pt>
                <c:pt idx="39">
                  <c:v>14.492067468879252</c:v>
                </c:pt>
                <c:pt idx="40">
                  <c:v>14.097936973058854</c:v>
                </c:pt>
                <c:pt idx="41">
                  <c:v>13.70433066771362</c:v>
                </c:pt>
                <c:pt idx="42">
                  <c:v>13.311300493886256</c:v>
                </c:pt>
                <c:pt idx="43">
                  <c:v>12.918902822705597</c:v>
                </c:pt>
                <c:pt idx="44">
                  <c:v>12.527198844028613</c:v>
                </c:pt>
                <c:pt idx="45">
                  <c:v>12.136254978872813</c:v>
                </c:pt>
                <c:pt idx="46">
                  <c:v>11.746143315991581</c:v>
                </c:pt>
                <c:pt idx="47">
                  <c:v>11.356942072610989</c:v>
                </c:pt>
                <c:pt idx="48">
                  <c:v>10.968736078924735</c:v>
                </c:pt>
                <c:pt idx="49">
                  <c:v>10.5816172854319</c:v>
                </c:pt>
                <c:pt idx="50">
                  <c:v>10.195685291581004</c:v>
                </c:pt>
                <c:pt idx="51">
                  <c:v>9.8110478934358429</c:v>
                </c:pt>
                <c:pt idx="52">
                  <c:v>9.4278216472045493</c:v>
                </c:pt>
                <c:pt idx="53">
                  <c:v>9.0461324444400972</c:v>
                </c:pt>
                <c:pt idx="54">
                  <c:v>8.666116093535269</c:v>
                </c:pt>
                <c:pt idx="55">
                  <c:v>8.2879189007795269</c:v>
                </c:pt>
                <c:pt idx="56">
                  <c:v>7.9116982427206848</c:v>
                </c:pt>
                <c:pt idx="57">
                  <c:v>7.5376231198777957</c:v>
                </c:pt>
                <c:pt idx="58">
                  <c:v>7.165874680005464</c:v>
                </c:pt>
                <c:pt idx="59">
                  <c:v>6.7966466971292006</c:v>
                </c:pt>
                <c:pt idx="60">
                  <c:v>6.4301459904910532</c:v>
                </c:pt>
                <c:pt idx="61">
                  <c:v>6.0665927654381253</c:v>
                </c:pt>
                <c:pt idx="62">
                  <c:v>5.7062208562006136</c:v>
                </c:pt>
                <c:pt idx="63">
                  <c:v>5.3492778485715711</c:v>
                </c:pt>
                <c:pt idx="64">
                  <c:v>4.996025058813788</c:v>
                </c:pt>
                <c:pt idx="65">
                  <c:v>4.6467373438531823</c:v>
                </c:pt>
                <c:pt idx="66">
                  <c:v>4.301702717133578</c:v>
                </c:pt>
                <c:pt idx="67">
                  <c:v>3.961221744603086</c:v>
                </c:pt>
                <c:pt idx="68">
                  <c:v>3.6256066964016656</c:v>
                </c:pt>
                <c:pt idx="69">
                  <c:v>3.2951804321147526</c:v>
                </c:pt>
                <c:pt idx="70">
                  <c:v>2.9702750011708186</c:v>
                </c:pt>
                <c:pt idx="71">
                  <c:v>2.6512299452455217</c:v>
                </c:pt>
                <c:pt idx="72">
                  <c:v>2.3383902965212484</c:v>
                </c:pt>
                <c:pt idx="73">
                  <c:v>2.0321042743471471</c:v>
                </c:pt>
                <c:pt idx="74">
                  <c:v>1.7327206931983152</c:v>
                </c:pt>
                <c:pt idx="75">
                  <c:v>1.4405861066047048</c:v>
                </c:pt>
                <c:pt idx="76">
                  <c:v>1.156041724561288</c:v>
                </c:pt>
                <c:pt idx="77">
                  <c:v>0.87942015530712847</c:v>
                </c:pt>
                <c:pt idx="78">
                  <c:v>0.61104203558567838</c:v>
                </c:pt>
                <c:pt idx="79">
                  <c:v>0.35121262577595502</c:v>
                </c:pt>
                <c:pt idx="80">
                  <c:v>0.10021845670574391</c:v>
                </c:pt>
                <c:pt idx="81">
                  <c:v>-0.14167587736252951</c:v>
                </c:pt>
                <c:pt idx="82">
                  <c:v>-0.37423068100708734</c:v>
                </c:pt>
                <c:pt idx="83">
                  <c:v>-0.59723377681823497</c:v>
                </c:pt>
                <c:pt idx="84">
                  <c:v>-0.81050268803921299</c:v>
                </c:pt>
                <c:pt idx="85">
                  <c:v>-1.0138863010472985</c:v>
                </c:pt>
                <c:pt idx="86">
                  <c:v>-1.2072659384943054</c:v>
                </c:pt>
                <c:pt idx="87">
                  <c:v>-1.3905557924197667</c:v>
                </c:pt>
                <c:pt idx="88">
                  <c:v>-1.5637026882615011</c:v>
                </c:pt>
                <c:pt idx="89">
                  <c:v>-1.7266851742217675</c:v>
                </c:pt>
                <c:pt idx="90">
                  <c:v>-1.8795119545256922</c:v>
                </c:pt>
                <c:pt idx="91">
                  <c:v>-2.0222197083396547</c:v>
                </c:pt>
                <c:pt idx="92">
                  <c:v>-2.1548703571746435</c:v>
                </c:pt>
                <c:pt idx="93">
                  <c:v>-2.2775478613836961</c:v>
                </c:pt>
                <c:pt idx="94">
                  <c:v>-2.3903546400606901</c:v>
                </c:pt>
                <c:pt idx="95">
                  <c:v>-2.4934077178101273</c:v>
                </c:pt>
                <c:pt idx="96">
                  <c:v>-2.5868347063911084</c:v>
                </c:pt>
                <c:pt idx="97">
                  <c:v>-2.6707697293961004</c:v>
                </c:pt>
                <c:pt idx="98">
                  <c:v>-2.7453493944364653</c:v>
                </c:pt>
                <c:pt idx="99">
                  <c:v>-2.8107089104921124</c:v>
                </c:pt>
                <c:pt idx="100">
                  <c:v>-2.8669784389685065</c:v>
                </c:pt>
                <c:pt idx="101">
                  <c:v>-2.914279756445981</c:v>
                </c:pt>
                <c:pt idx="102">
                  <c:v>-2.9527232958599834</c:v>
                </c:pt>
                <c:pt idx="103">
                  <c:v>-2.9824056215852863</c:v>
                </c:pt>
                <c:pt idx="104">
                  <c:v>-3.0034073830939771</c:v>
                </c:pt>
                <c:pt idx="105">
                  <c:v>-3.0157917818122031</c:v>
                </c:pt>
                <c:pt idx="106">
                  <c:v>-3.0196035766419178</c:v>
                </c:pt>
                <c:pt idx="107">
                  <c:v>-3.0148686452910152</c:v>
                </c:pt>
                <c:pt idx="108">
                  <c:v>-3.0015941108857254</c:v>
                </c:pt>
                <c:pt idx="109">
                  <c:v>-2.9797690360436424</c:v>
                </c:pt>
                <c:pt idx="110">
                  <c:v>-2.9493656793333187</c:v>
                </c:pt>
                <c:pt idx="111">
                  <c:v>-2.9103413014985864</c:v>
                </c:pt>
                <c:pt idx="112">
                  <c:v>-2.8626405006797997</c:v>
                </c:pt>
                <c:pt idx="113">
                  <c:v>-2.8061980469256316</c:v>
                </c:pt>
                <c:pt idx="114">
                  <c:v>-2.7409421764513424</c:v>
                </c:pt>
                <c:pt idx="115">
                  <c:v>-2.6667982954697793</c:v>
                </c:pt>
                <c:pt idx="116">
                  <c:v>-2.5836930322201557</c:v>
                </c:pt>
                <c:pt idx="117">
                  <c:v>-2.4915585645267933</c:v>
                </c:pt>
                <c:pt idx="118">
                  <c:v>-2.3903371394054211</c:v>
                </c:pt>
                <c:pt idx="119">
                  <c:v>-2.2799856916868841</c:v>
                </c:pt>
                <c:pt idx="120">
                  <c:v>-2.1604804611342456</c:v>
                </c:pt>
                <c:pt idx="121">
                  <c:v>-2.0318215029565869</c:v>
                </c:pt>
                <c:pt idx="122">
                  <c:v>-1.8940369856847861</c:v>
                </c:pt>
                <c:pt idx="123">
                  <c:v>-1.7471871736725659</c:v>
                </c:pt>
                <c:pt idx="124">
                  <c:v>-1.5913679992989396</c:v>
                </c:pt>
                <c:pt idx="125">
                  <c:v>-1.4267141422809948</c:v>
                </c:pt>
                <c:pt idx="126">
                  <c:v>-1.2534015499520943</c:v>
                </c:pt>
                <c:pt idx="127">
                  <c:v>-1.0716493521846544</c:v>
                </c:pt>
                <c:pt idx="128">
                  <c:v>-0.88172114676778812</c:v>
                </c:pt>
                <c:pt idx="129">
                  <c:v>-0.68392565419068041</c:v>
                </c:pt>
                <c:pt idx="130">
                  <c:v>-0.47861676350999116</c:v>
                </c:pt>
                <c:pt idx="131">
                  <c:v>-0.26619301188434336</c:v>
                </c:pt>
                <c:pt idx="132">
                  <c:v>-4.7096558165788747E-2</c:v>
                </c:pt>
                <c:pt idx="133">
                  <c:v>0.17818827538451881</c:v>
                </c:pt>
                <c:pt idx="134">
                  <c:v>0.4091368103335401</c:v>
                </c:pt>
                <c:pt idx="135">
                  <c:v>0.64518608164411329</c:v>
                </c:pt>
                <c:pt idx="136">
                  <c:v>0.88573708436583187</c:v>
                </c:pt>
                <c:pt idx="137">
                  <c:v>1.1301571183848069</c:v>
                </c:pt>
                <c:pt idx="138">
                  <c:v>1.3777821624011544</c:v>
                </c:pt>
                <c:pt idx="139">
                  <c:v>1.6279192217755369</c:v>
                </c:pt>
                <c:pt idx="140">
                  <c:v>1.8798486106517647</c:v>
                </c:pt>
                <c:pt idx="141">
                  <c:v>2.1328261458418147</c:v>
                </c:pt>
                <c:pt idx="142">
                  <c:v>2.3860852474105694</c:v>
                </c:pt>
                <c:pt idx="143">
                  <c:v>2.6388389578508735</c:v>
                </c:pt>
                <c:pt idx="144">
                  <c:v>2.8902819074456296</c:v>
                </c:pt>
                <c:pt idx="145">
                  <c:v>3.1395922672193599</c:v>
                </c:pt>
                <c:pt idx="146">
                  <c:v>3.3859337422627052</c:v>
                </c:pt>
                <c:pt idx="147">
                  <c:v>3.6284576667239827</c:v>
                </c:pt>
                <c:pt idx="148">
                  <c:v>3.866305267060266</c:v>
                </c:pt>
                <c:pt idx="149">
                  <c:v>4.0986101619184643</c:v>
                </c:pt>
                <c:pt idx="150">
                  <c:v>4.3245011650819283</c:v>
                </c:pt>
                <c:pt idx="151">
                  <c:v>4.5431054520840748</c:v>
                </c:pt>
                <c:pt idx="152">
                  <c:v>4.7535521413120732</c:v>
                </c:pt>
                <c:pt idx="153">
                  <c:v>4.9549763267190636</c:v>
                </c:pt>
                <c:pt idx="154">
                  <c:v>5.1465235818299151</c:v>
                </c:pt>
                <c:pt idx="155">
                  <c:v>5.3273549339023587</c:v>
                </c:pt>
                <c:pt idx="156">
                  <c:v>5.4966522834918417</c:v>
                </c:pt>
                <c:pt idx="157">
                  <c:v>5.6536242190566401</c:v>
                </c:pt>
                <c:pt idx="158">
                  <c:v>5.7975121496997559</c:v>
                </c:pt>
                <c:pt idx="159">
                  <c:v>5.9275966529743975</c:v>
                </c:pt>
                <c:pt idx="160">
                  <c:v>6.0432039103344479</c:v>
                </c:pt>
                <c:pt idx="161">
                  <c:v>6.1437120818974922</c:v>
                </c:pt>
                <c:pt idx="162">
                  <c:v>6.2285574562576604</c:v>
                </c:pt>
                <c:pt idx="163">
                  <c:v>6.2972402016082789</c:v>
                </c:pt>
                <c:pt idx="164">
                  <c:v>6.3493295425651288</c:v>
                </c:pt>
                <c:pt idx="165">
                  <c:v>6.3844681935910508</c:v>
                </c:pt>
                <c:pt idx="166">
                  <c:v>6.4023758950541545</c:v>
                </c:pt>
                <c:pt idx="167">
                  <c:v>6.4028519213439274</c:v>
                </c:pt>
                <c:pt idx="168">
                  <c:v>6.3857764611584544</c:v>
                </c:pt>
                <c:pt idx="169">
                  <c:v>6.3511108065231667</c:v>
                </c:pt>
                <c:pt idx="170">
                  <c:v>6.2988963273027911</c:v>
                </c:pt>
                <c:pt idx="171">
                  <c:v>6.2292522496069793</c:v>
                </c:pt>
                <c:pt idx="172">
                  <c:v>6.1423722971538153</c:v>
                </c:pt>
                <c:pt idx="173">
                  <c:v>6.0385202919922776</c:v>
                </c:pt>
                <c:pt idx="174">
                  <c:v>5.9180248429665339</c:v>
                </c:pt>
                <c:pt idx="175">
                  <c:v>5.7812732753239509</c:v>
                </c:pt>
                <c:pt idx="176">
                  <c:v>5.6287049718977968</c:v>
                </c:pt>
                <c:pt idx="177">
                  <c:v>5.4608043049091428</c:v>
                </c:pt>
                <c:pt idx="178">
                  <c:v>5.2780933378074533</c:v>
                </c:pt>
                <c:pt idx="179">
                  <c:v>5.0811244694081719</c:v>
                </c:pt>
                <c:pt idx="180">
                  <c:v>4.8704731790148639</c:v>
                </c:pt>
                <c:pt idx="181">
                  <c:v>4.6467310126329178</c:v>
                </c:pt>
                <c:pt idx="182">
                  <c:v>4.4104989283394342</c:v>
                </c:pt>
                <c:pt idx="183">
                  <c:v>4.1623810949104429</c:v>
                </c:pt>
                <c:pt idx="184">
                  <c:v>3.9029792133527801</c:v>
                </c:pt>
                <c:pt idx="185">
                  <c:v>3.6328874072896777</c:v>
                </c:pt>
                <c:pt idx="186">
                  <c:v>3.3526877061785654</c:v>
                </c:pt>
                <c:pt idx="187">
                  <c:v>3.0629461258239306</c:v>
                </c:pt>
                <c:pt idx="188">
                  <c:v>2.764209334035042</c:v>
                </c:pt>
                <c:pt idx="189">
                  <c:v>2.4570018757650987</c:v>
                </c:pt>
                <c:pt idx="190">
                  <c:v>2.1418239216724038</c:v>
                </c:pt>
                <c:pt idx="191">
                  <c:v>1.8191494965957959</c:v>
                </c:pt>
                <c:pt idx="192">
                  <c:v>1.4894251396783265</c:v>
                </c:pt>
                <c:pt idx="193">
                  <c:v>1.153068945452596</c:v>
                </c:pt>
                <c:pt idx="194">
                  <c:v>0.81046993475492735</c:v>
                </c:pt>
                <c:pt idx="195">
                  <c:v>0.46198770548453238</c:v>
                </c:pt>
                <c:pt idx="196">
                  <c:v>0.10795231560011806</c:v>
                </c:pt>
                <c:pt idx="197">
                  <c:v>-0.25133564595355978</c:v>
                </c:pt>
                <c:pt idx="198">
                  <c:v>-0.6156048407781235</c:v>
                </c:pt>
                <c:pt idx="199">
                  <c:v>-0.98461285107667207</c:v>
                </c:pt>
                <c:pt idx="200">
                  <c:v>-1.3581457697629262</c:v>
                </c:pt>
              </c:numCache>
            </c:numRef>
          </c:yVal>
          <c:smooth val="1"/>
        </c:ser>
        <c:ser>
          <c:idx val="1"/>
          <c:order val="2"/>
          <c:tx>
            <c:v>T(s) with Comp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Compensation!$BE$64:$BE$264</c:f>
              <c:numCache>
                <c:formatCode>General</c:formatCode>
                <c:ptCount val="201"/>
                <c:pt idx="0">
                  <c:v>42.280654066486463</c:v>
                </c:pt>
                <c:pt idx="1">
                  <c:v>41.887387849066485</c:v>
                </c:pt>
                <c:pt idx="2">
                  <c:v>41.493566638056095</c:v>
                </c:pt>
                <c:pt idx="3">
                  <c:v>41.099240601115703</c:v>
                </c:pt>
                <c:pt idx="4">
                  <c:v>40.70445599730072</c:v>
                </c:pt>
                <c:pt idx="5">
                  <c:v>40.309255507812509</c:v>
                </c:pt>
                <c:pt idx="6">
                  <c:v>39.913678546389676</c:v>
                </c:pt>
                <c:pt idx="7">
                  <c:v>39.51776155037706</c:v>
                </c:pt>
                <c:pt idx="8">
                  <c:v>39.121538253583658</c:v>
                </c:pt>
                <c:pt idx="9">
                  <c:v>38.725039942108744</c:v>
                </c:pt>
                <c:pt idx="10">
                  <c:v>38.328295694338813</c:v>
                </c:pt>
                <c:pt idx="11">
                  <c:v>37.931332606338259</c:v>
                </c:pt>
                <c:pt idx="12">
                  <c:v>37.534176003864779</c:v>
                </c:pt>
                <c:pt idx="13">
                  <c:v>37.1368496422227</c:v>
                </c:pt>
                <c:pt idx="14">
                  <c:v>36.739375895168337</c:v>
                </c:pt>
                <c:pt idx="15">
                  <c:v>36.341775934050958</c:v>
                </c:pt>
                <c:pt idx="16">
                  <c:v>35.944069898359395</c:v>
                </c:pt>
                <c:pt idx="17">
                  <c:v>35.546277058822668</c:v>
                </c:pt>
                <c:pt idx="18">
                  <c:v>35.148415974187131</c:v>
                </c:pt>
                <c:pt idx="19">
                  <c:v>34.750504642779035</c:v>
                </c:pt>
                <c:pt idx="20">
                  <c:v>34.352560649938333</c:v>
                </c:pt>
                <c:pt idx="21">
                  <c:v>33.954601312400101</c:v>
                </c:pt>
                <c:pt idx="22">
                  <c:v>33.556643820683306</c:v>
                </c:pt>
                <c:pt idx="23">
                  <c:v>33.158705380543012</c:v>
                </c:pt>
                <c:pt idx="24">
                  <c:v>32.760803354538439</c:v>
                </c:pt>
                <c:pt idx="25">
                  <c:v>32.362955404766453</c:v>
                </c:pt>
                <c:pt idx="26">
                  <c:v>31.965179637819055</c:v>
                </c:pt>
                <c:pt idx="27">
                  <c:v>31.567494753027393</c:v>
                </c:pt>
                <c:pt idx="28">
                  <c:v>31.169920195072052</c:v>
                </c:pt>
                <c:pt idx="29">
                  <c:v>30.772476312049839</c:v>
                </c:pt>
                <c:pt idx="30">
                  <c:v>30.375184520107993</c:v>
                </c:pt>
                <c:pt idx="31">
                  <c:v>29.978067475777948</c:v>
                </c:pt>
                <c:pt idx="32">
                  <c:v>29.581149257159538</c:v>
                </c:pt>
                <c:pt idx="33">
                  <c:v>29.184455555131294</c:v>
                </c:pt>
                <c:pt idx="34">
                  <c:v>28.788013875779082</c:v>
                </c:pt>
                <c:pt idx="35">
                  <c:v>28.391853755256669</c:v>
                </c:pt>
                <c:pt idx="36">
                  <c:v>27.996006988300195</c:v>
                </c:pt>
                <c:pt idx="37">
                  <c:v>27.600507871627286</c:v>
                </c:pt>
                <c:pt idx="38">
                  <c:v>27.205393463440885</c:v>
                </c:pt>
                <c:pt idx="39">
                  <c:v>26.810703860244107</c:v>
                </c:pt>
                <c:pt idx="40">
                  <c:v>26.416482492126438</c:v>
                </c:pt>
                <c:pt idx="41">
                  <c:v>26.022776437629989</c:v>
                </c:pt>
                <c:pt idx="42">
                  <c:v>25.629636759203681</c:v>
                </c:pt>
                <c:pt idx="43">
                  <c:v>25.237118860135833</c:v>
                </c:pt>
                <c:pt idx="44">
                  <c:v>24.84528286368079</c:v>
                </c:pt>
                <c:pt idx="45">
                  <c:v>24.454194014874094</c:v>
                </c:pt>
                <c:pt idx="46">
                  <c:v>24.063923105247284</c:v>
                </c:pt>
                <c:pt idx="47">
                  <c:v>23.67454692029494</c:v>
                </c:pt>
                <c:pt idx="48">
                  <c:v>23.286148709104381</c:v>
                </c:pt>
                <c:pt idx="49">
                  <c:v>22.898818675009501</c:v>
                </c:pt>
                <c:pt idx="50">
                  <c:v>22.512654485486657</c:v>
                </c:pt>
                <c:pt idx="51">
                  <c:v>22.127761798710761</c:v>
                </c:pt>
                <c:pt idx="52">
                  <c:v>21.744254803278142</c:v>
                </c:pt>
                <c:pt idx="53">
                  <c:v>21.362256766509251</c:v>
                </c:pt>
                <c:pt idx="54">
                  <c:v>20.981900585497893</c:v>
                </c:pt>
                <c:pt idx="55">
                  <c:v>20.603329333638904</c:v>
                </c:pt>
                <c:pt idx="56">
                  <c:v>20.226696793753366</c:v>
                </c:pt>
                <c:pt idx="57">
                  <c:v>19.852167967129695</c:v>
                </c:pt>
                <c:pt idx="58">
                  <c:v>19.479919545821872</c:v>
                </c:pt>
                <c:pt idx="59">
                  <c:v>19.110140333422386</c:v>
                </c:pt>
                <c:pt idx="60">
                  <c:v>18.743031597269393</c:v>
                </c:pt>
                <c:pt idx="61">
                  <c:v>18.378807332730112</c:v>
                </c:pt>
                <c:pt idx="62">
                  <c:v>18.017694417872839</c:v>
                </c:pt>
                <c:pt idx="63">
                  <c:v>17.659932634611366</c:v>
                </c:pt>
                <c:pt idx="64">
                  <c:v>17.305774530370787</c:v>
                </c:pt>
                <c:pt idx="65">
                  <c:v>16.955485092644782</c:v>
                </c:pt>
                <c:pt idx="66">
                  <c:v>16.60934120764442</c:v>
                </c:pt>
                <c:pt idx="67">
                  <c:v>16.267630873748832</c:v>
                </c:pt>
                <c:pt idx="68">
                  <c:v>15.930652140886197</c:v>
                </c:pt>
                <c:pt idx="69">
                  <c:v>15.598711748447617</c:v>
                </c:pt>
                <c:pt idx="70">
                  <c:v>15.272123437090796</c:v>
                </c:pt>
                <c:pt idx="71">
                  <c:v>14.951205913933389</c:v>
                </c:pt>
                <c:pt idx="72">
                  <c:v>14.636280456271567</c:v>
                </c:pt>
                <c:pt idx="73">
                  <c:v>14.327668146073426</c:v>
                </c:pt>
                <c:pt idx="74">
                  <c:v>14.025686735976633</c:v>
                </c:pt>
                <c:pt idx="75">
                  <c:v>13.730647157098662</c:v>
                </c:pt>
                <c:pt idx="76">
                  <c:v>13.442849689245964</c:v>
                </c:pt>
                <c:pt idx="77">
                  <c:v>13.162579824486215</c:v>
                </c:pt>
                <c:pt idx="78">
                  <c:v>12.890103864808244</c:v>
                </c:pt>
                <c:pt idx="79">
                  <c:v>12.625664302865687</c:v>
                </c:pt>
                <c:pt idx="80">
                  <c:v>12.369475040643392</c:v>
                </c:pt>
                <c:pt idx="81">
                  <c:v>12.121716503371442</c:v>
                </c:pt>
                <c:pt idx="82">
                  <c:v>11.882530704266067</c:v>
                </c:pt>
                <c:pt idx="83">
                  <c:v>11.652016309065402</c:v>
                </c:pt>
                <c:pt idx="84">
                  <c:v>11.430223737460549</c:v>
                </c:pt>
                <c:pt idx="85">
                  <c:v>11.21715032147867</c:v>
                </c:pt>
                <c:pt idx="86">
                  <c:v>11.012735519160886</c:v>
                </c:pt>
                <c:pt idx="87">
                  <c:v>10.816856156626685</c:v>
                </c:pt>
                <c:pt idx="88">
                  <c:v>10.629321644529337</c:v>
                </c:pt>
                <c:pt idx="89">
                  <c:v>10.449869088334262</c:v>
                </c:pt>
                <c:pt idx="90">
                  <c:v>10.278158188834157</c:v>
                </c:pt>
                <c:pt idx="91">
                  <c:v>10.11376581352077</c:v>
                </c:pt>
                <c:pt idx="92">
                  <c:v>9.9561801153145986</c:v>
                </c:pt>
                <c:pt idx="93">
                  <c:v>9.8047940878573048</c:v>
                </c:pt>
                <c:pt idx="94">
                  <c:v>9.6588984820838935</c:v>
                </c:pt>
                <c:pt idx="95">
                  <c:v>9.5176740737960035</c:v>
                </c:pt>
                <c:pt idx="96">
                  <c:v>9.380183373667224</c:v>
                </c:pt>
                <c:pt idx="97">
                  <c:v>9.2453620166709101</c:v>
                </c:pt>
                <c:pt idx="98">
                  <c:v>9.1120102632579929</c:v>
                </c:pt>
                <c:pt idx="99">
                  <c:v>8.9787852924482401</c:v>
                </c:pt>
                <c:pt idx="100">
                  <c:v>8.8441952637251884</c:v>
                </c:pt>
                <c:pt idx="101">
                  <c:v>8.7065964559494304</c:v>
                </c:pt>
                <c:pt idx="102">
                  <c:v>8.5641951271155197</c:v>
                </c:pt>
                <c:pt idx="103">
                  <c:v>8.415056026914101</c:v>
                </c:pt>
                <c:pt idx="104">
                  <c:v>8.2571196580205513</c:v>
                </c:pt>
                <c:pt idx="105">
                  <c:v>8.0882303219099576</c:v>
                </c:pt>
                <c:pt idx="106">
                  <c:v>7.9061765887309274</c:v>
                </c:pt>
                <c:pt idx="107">
                  <c:v>7.7087449986049439</c:v>
                </c:pt>
                <c:pt idx="108">
                  <c:v>7.4937864848373454</c:v>
                </c:pt>
                <c:pt idx="109">
                  <c:v>7.2592932572902766</c:v>
                </c:pt>
                <c:pt idx="110">
                  <c:v>7.0034818849447618</c:v>
                </c:pt>
                <c:pt idx="111">
                  <c:v>6.7248764087486883</c:v>
                </c:pt>
                <c:pt idx="112">
                  <c:v>6.4223839447188711</c:v>
                </c:pt>
                <c:pt idx="113">
                  <c:v>6.0953548499823293</c:v>
                </c:pt>
                <c:pt idx="114">
                  <c:v>5.7436204212990107</c:v>
                </c:pt>
                <c:pt idx="115">
                  <c:v>5.3675032920216683</c:v>
                </c:pt>
                <c:pt idx="116">
                  <c:v>4.9677988593888953</c:v>
                </c:pt>
                <c:pt idx="117">
                  <c:v>4.5457295957747155</c:v>
                </c:pt>
                <c:pt idx="118">
                  <c:v>4.102877252581429</c:v>
                </c:pt>
                <c:pt idx="119">
                  <c:v>3.6411001430000551</c:v>
                </c:pt>
                <c:pt idx="120">
                  <c:v>3.1624435642729658</c:v>
                </c:pt>
                <c:pt idx="121">
                  <c:v>2.6690510110162347</c:v>
                </c:pt>
                <c:pt idx="122">
                  <c:v>2.1630824413713849</c:v>
                </c:pt>
                <c:pt idx="123">
                  <c:v>1.6466439345200565</c:v>
                </c:pt>
                <c:pt idx="124">
                  <c:v>1.1217310653547896</c:v>
                </c:pt>
                <c:pt idx="125">
                  <c:v>0.59018655573321177</c:v>
                </c:pt>
                <c:pt idx="126">
                  <c:v>5.3671427906754415E-2</c:v>
                </c:pt>
                <c:pt idx="127">
                  <c:v>-0.48635196755762644</c:v>
                </c:pt>
                <c:pt idx="128">
                  <c:v>-1.0286270987932691</c:v>
                </c:pt>
                <c:pt idx="129">
                  <c:v>-1.5721027131737151</c:v>
                </c:pt>
                <c:pt idx="130">
                  <c:v>-2.1159266170056963</c:v>
                </c:pt>
                <c:pt idx="131">
                  <c:v>-2.6594355228272049</c:v>
                </c:pt>
                <c:pt idx="132">
                  <c:v>-3.2021424059407138</c:v>
                </c:pt>
                <c:pt idx="133">
                  <c:v>-3.743722505044401</c:v>
                </c:pt>
                <c:pt idx="134">
                  <c:v>-4.2839988236887372</c:v>
                </c:pt>
                <c:pt idx="135">
                  <c:v>-4.8229277526999406</c:v>
                </c:pt>
                <c:pt idx="136">
                  <c:v>-5.3605852413587041</c:v>
                </c:pt>
                <c:pt idx="137">
                  <c:v>-5.8971537939052032</c:v>
                </c:pt>
                <c:pt idx="138">
                  <c:v>-6.4329104519821687</c:v>
                </c:pt>
                <c:pt idx="139">
                  <c:v>-6.9682158364141333</c:v>
                </c:pt>
                <c:pt idx="140">
                  <c:v>-7.5035042570538266</c:v>
                </c:pt>
                <c:pt idx="141">
                  <c:v>-8.0392748520889405</c:v>
                </c:pt>
                <c:pt idx="142">
                  <c:v>-8.5760836839769521</c:v>
                </c:pt>
                <c:pt idx="143">
                  <c:v>-9.1145366948848512</c:v>
                </c:pt>
                <c:pt idx="144">
                  <c:v>-9.6552834078157179</c:v>
                </c:pt>
                <c:pt idx="145">
                  <c:v>-10.199011248869416</c:v>
                </c:pt>
                <c:pt idx="146">
                  <c:v>-10.746440360192704</c:v>
                </c:pt>
                <c:pt idx="147">
                  <c:v>-11.298318771424135</c:v>
                </c:pt>
                <c:pt idx="148">
                  <c:v>-11.855417799388947</c:v>
                </c:pt>
                <c:pt idx="149">
                  <c:v>-12.41852755125543</c:v>
                </c:pt>
                <c:pt idx="150">
                  <c:v>-12.988452415198495</c:v>
                </c:pt>
                <c:pt idx="151">
                  <c:v>-13.566006434841576</c:v>
                </c:pt>
                <c:pt idx="152">
                  <c:v>-14.152008479315342</c:v>
                </c:pt>
                <c:pt idx="153">
                  <c:v>-14.747277139643053</c:v>
                </c:pt>
                <c:pt idx="154">
                  <c:v>-15.352625304146237</c:v>
                </c:pt>
                <c:pt idx="155">
                  <c:v>-15.968854390361392</c:v>
                </c:pt>
                <c:pt idx="156">
                  <c:v>-16.596748238012452</c:v>
                </c:pt>
                <c:pt idx="157">
                  <c:v>-17.237066696158998</c:v>
                </c:pt>
                <c:pt idx="158">
                  <c:v>-17.890538966720211</c:v>
                </c:pt>
                <c:pt idx="159">
                  <c:v>-18.557856794911302</c:v>
                </c:pt>
                <c:pt idx="160">
                  <c:v>-19.239667623316731</c:v>
                </c:pt>
                <c:pt idx="161">
                  <c:v>-19.936567848804994</c:v>
                </c:pt>
                <c:pt idx="162">
                  <c:v>-20.649096338747551</c:v>
                </c:pt>
                <c:pt idx="163">
                  <c:v>-21.377728373602825</c:v>
                </c:pt>
                <c:pt idx="164">
                  <c:v>-22.122870185750848</c:v>
                </c:pt>
                <c:pt idx="165">
                  <c:v>-22.884854258757002</c:v>
                </c:pt>
                <c:pt idx="166">
                  <c:v>-23.663935536810495</c:v>
                </c:pt>
                <c:pt idx="167">
                  <c:v>-24.460288671269513</c:v>
                </c:pt>
                <c:pt idx="168">
                  <c:v>-25.274006401081699</c:v>
                </c:pt>
                <c:pt idx="169">
                  <c:v>-26.105099127841108</c:v>
                </c:pt>
                <c:pt idx="170">
                  <c:v>-26.953495706453339</c:v>
                </c:pt>
                <c:pt idx="171">
                  <c:v>-27.819045431108655</c:v>
                </c:pt>
                <c:pt idx="172">
                  <c:v>-28.701521155955291</c:v>
                </c:pt>
                <c:pt idx="173">
                  <c:v>-29.600623452872451</c:v>
                </c:pt>
                <c:pt idx="174">
                  <c:v>-30.515985677115104</c:v>
                </c:pt>
                <c:pt idx="175">
                  <c:v>-31.44717978695013</c:v>
                </c:pt>
                <c:pt idx="176">
                  <c:v>-32.393722746777783</c:v>
                </c:pt>
                <c:pt idx="177">
                  <c:v>-33.355083335055113</c:v>
                </c:pt>
                <c:pt idx="178">
                  <c:v>-34.330689178463999</c:v>
                </c:pt>
                <c:pt idx="179">
                  <c:v>-35.319933841482239</c:v>
                </c:pt>
                <c:pt idx="180">
                  <c:v>-36.322183814732426</c:v>
                </c:pt>
                <c:pt idx="181">
                  <c:v>-37.336785264788837</c:v>
                </c:pt>
                <c:pt idx="182">
                  <c:v>-38.363070431000217</c:v>
                </c:pt>
                <c:pt idx="183">
                  <c:v>-39.400363579788674</c:v>
                </c:pt>
                <c:pt idx="184">
                  <c:v>-40.447986452399249</c:v>
                </c:pt>
                <c:pt idx="185">
                  <c:v>-41.505263166957604</c:v>
                </c:pt>
                <c:pt idx="186">
                  <c:v>-42.571524558963105</c:v>
                </c:pt>
                <c:pt idx="187">
                  <c:v>-43.646111965282117</c:v>
                </c:pt>
                <c:pt idx="188">
                  <c:v>-44.728380474825229</c:v>
                </c:pt>
                <c:pt idx="189">
                  <c:v>-45.817701684198653</c:v>
                </c:pt>
                <c:pt idx="190">
                  <c:v>-46.913466008617128</c:v>
                </c:pt>
                <c:pt idx="191">
                  <c:v>-48.015084607400723</c:v>
                </c:pt>
                <c:pt idx="192">
                  <c:v>-49.12199098960825</c:v>
                </c:pt>
                <c:pt idx="193">
                  <c:v>-50.233642369041426</c:v>
                </c:pt>
                <c:pt idx="194">
                  <c:v>-51.349520839236611</c:v>
                </c:pt>
                <c:pt idx="195">
                  <c:v>-52.469134438359752</c:v>
                </c:pt>
                <c:pt idx="196">
                  <c:v>-53.592018171343263</c:v>
                </c:pt>
                <c:pt idx="197">
                  <c:v>-54.717735052252472</c:v>
                </c:pt>
                <c:pt idx="198">
                  <c:v>-55.845877223854579</c:v>
                </c:pt>
                <c:pt idx="199">
                  <c:v>-56.97606720367348</c:v>
                </c:pt>
                <c:pt idx="200">
                  <c:v>-58.107959296468735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120576"/>
        <c:axId val="328123136"/>
      </c:scatterChart>
      <c:valAx>
        <c:axId val="328120576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123136"/>
        <c:crosses val="autoZero"/>
        <c:crossBetween val="midCat"/>
      </c:valAx>
      <c:valAx>
        <c:axId val="328123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Gain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12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793704328274311"/>
          <c:y val="2.5280789781945517E-2"/>
          <c:w val="0.26363125351320965"/>
          <c:h val="0.162921341276254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92784830285748E-2"/>
          <c:y val="7.3033707865168537E-2"/>
          <c:w val="0.86423910925786851"/>
          <c:h val="0.8567415730337079"/>
        </c:manualLayout>
      </c:layout>
      <c:scatterChart>
        <c:scatterStyle val="smoothMarker"/>
        <c:varyColors val="0"/>
        <c:ser>
          <c:idx val="3"/>
          <c:order val="0"/>
          <c:tx>
            <c:v> T(s) Phase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Compensation!$AH$64:$AH$264</c:f>
              <c:numCache>
                <c:formatCode>General</c:formatCode>
                <c:ptCount val="201"/>
                <c:pt idx="0">
                  <c:v>179.53438034496935</c:v>
                </c:pt>
                <c:pt idx="1">
                  <c:v>179.51243598459118</c:v>
                </c:pt>
                <c:pt idx="2">
                  <c:v>179.48945736176441</c:v>
                </c:pt>
                <c:pt idx="3">
                  <c:v>179.46539572481569</c:v>
                </c:pt>
                <c:pt idx="4">
                  <c:v>179.44020002323393</c:v>
                </c:pt>
                <c:pt idx="5">
                  <c:v>179.41381679914537</c:v>
                </c:pt>
                <c:pt idx="6">
                  <c:v>179.38619007364665</c:v>
                </c:pt>
                <c:pt idx="7">
                  <c:v>179.35726122775009</c:v>
                </c:pt>
                <c:pt idx="8">
                  <c:v>179.32696887768174</c:v>
                </c:pt>
                <c:pt idx="9">
                  <c:v>179.2952487442613</c:v>
                </c:pt>
                <c:pt idx="10">
                  <c:v>179.26203351607893</c:v>
                </c:pt>
                <c:pt idx="11">
                  <c:v>179.22725270616917</c:v>
                </c:pt>
                <c:pt idx="12">
                  <c:v>179.19083250186799</c:v>
                </c:pt>
                <c:pt idx="13">
                  <c:v>179.15269560752205</c:v>
                </c:pt>
                <c:pt idx="14">
                  <c:v>179.11276107970275</c:v>
                </c:pt>
                <c:pt idx="15">
                  <c:v>179.07094415456015</c:v>
                </c:pt>
                <c:pt idx="16">
                  <c:v>179.02715606693167</c:v>
                </c:pt>
                <c:pt idx="17">
                  <c:v>178.98130386080129</c:v>
                </c:pt>
                <c:pt idx="18">
                  <c:v>178.93329019068344</c:v>
                </c:pt>
                <c:pt idx="19">
                  <c:v>178.88301311348232</c:v>
                </c:pt>
                <c:pt idx="20">
                  <c:v>178.83036587035394</c:v>
                </c:pt>
                <c:pt idx="21">
                  <c:v>178.77523665807158</c:v>
                </c:pt>
                <c:pt idx="22">
                  <c:v>178.71750838936842</c:v>
                </c:pt>
                <c:pt idx="23">
                  <c:v>178.65705844170103</c:v>
                </c:pt>
                <c:pt idx="24">
                  <c:v>178.59375839384597</c:v>
                </c:pt>
                <c:pt idx="25">
                  <c:v>178.52747374970832</c:v>
                </c:pt>
                <c:pt idx="26">
                  <c:v>178.45806364868341</c:v>
                </c:pt>
                <c:pt idx="27">
                  <c:v>178.38538056187548</c:v>
                </c:pt>
                <c:pt idx="28">
                  <c:v>178.3092699734334</c:v>
                </c:pt>
                <c:pt idx="29">
                  <c:v>178.22957004621878</c:v>
                </c:pt>
                <c:pt idx="30">
                  <c:v>178.14611127097254</c:v>
                </c:pt>
                <c:pt idx="31">
                  <c:v>178.05871609809225</c:v>
                </c:pt>
                <c:pt idx="32">
                  <c:v>177.96719855107526</c:v>
                </c:pt>
                <c:pt idx="33">
                  <c:v>177.87136382061908</c:v>
                </c:pt>
                <c:pt idx="34">
                  <c:v>177.77100783830224</c:v>
                </c:pt>
                <c:pt idx="35">
                  <c:v>177.66591682869398</c:v>
                </c:pt>
                <c:pt idx="36">
                  <c:v>177.55586683865874</c:v>
                </c:pt>
                <c:pt idx="37">
                  <c:v>177.44062324253261</c:v>
                </c:pt>
                <c:pt idx="38">
                  <c:v>177.31994022174919</c:v>
                </c:pt>
                <c:pt idx="39">
                  <c:v>177.19356021738514</c:v>
                </c:pt>
                <c:pt idx="40">
                  <c:v>177.0612133539756</c:v>
                </c:pt>
                <c:pt idx="41">
                  <c:v>176.92261683281828</c:v>
                </c:pt>
                <c:pt idx="42">
                  <c:v>176.77747429283977</c:v>
                </c:pt>
                <c:pt idx="43">
                  <c:v>176.62547513693616</c:v>
                </c:pt>
                <c:pt idx="44">
                  <c:v>176.46629382152207</c:v>
                </c:pt>
                <c:pt idx="45">
                  <c:v>176.29958910682433</c:v>
                </c:pt>
                <c:pt idx="46">
                  <c:v>176.12500326523605</c:v>
                </c:pt>
                <c:pt idx="47">
                  <c:v>175.94216124480337</c:v>
                </c:pt>
                <c:pt idx="48">
                  <c:v>175.7506697846448</c:v>
                </c:pt>
                <c:pt idx="49">
                  <c:v>175.55011647879991</c:v>
                </c:pt>
                <c:pt idx="50">
                  <c:v>175.34006878466795</c:v>
                </c:pt>
                <c:pt idx="51">
                  <c:v>175.12007297182046</c:v>
                </c:pt>
                <c:pt idx="52">
                  <c:v>174.88965300655369</c:v>
                </c:pt>
                <c:pt idx="53">
                  <c:v>174.64830936708091</c:v>
                </c:pt>
                <c:pt idx="54">
                  <c:v>174.39551778374545</c:v>
                </c:pt>
                <c:pt idx="55">
                  <c:v>174.13072789805804</c:v>
                </c:pt>
                <c:pt idx="56">
                  <c:v>173.85336183372092</c:v>
                </c:pt>
                <c:pt idx="57">
                  <c:v>173.56281267209064</c:v>
                </c:pt>
                <c:pt idx="58">
                  <c:v>173.25844282374169</c:v>
                </c:pt>
                <c:pt idx="59">
                  <c:v>172.93958228692637</c:v>
                </c:pt>
                <c:pt idx="60">
                  <c:v>172.60552678276588</c:v>
                </c:pt>
                <c:pt idx="61">
                  <c:v>172.25553575596041</c:v>
                </c:pt>
                <c:pt idx="62">
                  <c:v>171.88883022865761</c:v>
                </c:pt>
                <c:pt idx="63">
                  <c:v>171.50459049387831</c:v>
                </c:pt>
                <c:pt idx="64">
                  <c:v>171.1019536335578</c:v>
                </c:pt>
                <c:pt idx="65">
                  <c:v>170.68001084483703</c:v>
                </c:pt>
                <c:pt idx="66">
                  <c:v>170.23780455673051</c:v>
                </c:pt>
                <c:pt idx="67">
                  <c:v>169.77432531774218</c:v>
                </c:pt>
                <c:pt idx="68">
                  <c:v>169.28850843341678</c:v>
                </c:pt>
                <c:pt idx="69">
                  <c:v>168.77923033126098</c:v>
                </c:pt>
                <c:pt idx="70">
                  <c:v>168.24530462900151</c:v>
                </c:pt>
                <c:pt idx="71">
                  <c:v>167.68547788088503</c:v>
                </c:pt>
                <c:pt idx="72">
                  <c:v>167.09842497576813</c:v>
                </c:pt>
                <c:pt idx="73">
                  <c:v>166.48274416030836</c:v>
                </c:pt>
                <c:pt idx="74">
                  <c:v>165.83695166085536</c:v>
                </c:pt>
                <c:pt idx="75">
                  <c:v>165.15947587900666</c:v>
                </c:pt>
                <c:pt idx="76">
                  <c:v>164.4486511386138</c:v>
                </c:pt>
                <c:pt idx="77">
                  <c:v>163.7027109669005</c:v>
                </c:pt>
                <c:pt idx="78">
                  <c:v>162.91978089993273</c:v>
                </c:pt>
                <c:pt idx="79">
                  <c:v>162.09787081393989</c:v>
                </c:pt>
                <c:pt idx="80">
                  <c:v>161.23486680004083</c:v>
                </c:pt>
                <c:pt idx="81">
                  <c:v>160.32852262230881</c:v>
                </c:pt>
                <c:pt idx="82">
                  <c:v>159.37645082966276</c:v>
                </c:pt>
                <c:pt idx="83">
                  <c:v>158.3761136331519</c:v>
                </c:pt>
                <c:pt idx="84">
                  <c:v>157.32481371468324</c:v>
                </c:pt>
                <c:pt idx="85">
                  <c:v>156.21968520465123</c:v>
                </c:pt>
                <c:pt idx="86">
                  <c:v>155.0576851584602</c:v>
                </c:pt>
                <c:pt idx="87">
                  <c:v>153.8355859804841</c:v>
                </c:pt>
                <c:pt idx="88">
                  <c:v>152.5499693941658</c:v>
                </c:pt>
                <c:pt idx="89">
                  <c:v>151.19722274469677</c:v>
                </c:pt>
                <c:pt idx="90">
                  <c:v>149.77353865208147</c:v>
                </c:pt>
                <c:pt idx="91">
                  <c:v>148.27491931265172</c:v>
                </c:pt>
                <c:pt idx="92">
                  <c:v>146.69718707946484</c:v>
                </c:pt>
                <c:pt idx="93">
                  <c:v>145.03600333561548</c:v>
                </c:pt>
                <c:pt idx="94">
                  <c:v>143.28689810131272</c:v>
                </c:pt>
                <c:pt idx="95">
                  <c:v>141.44531326616448</c:v>
                </c:pt>
                <c:pt idx="96">
                  <c:v>139.50666277590875</c:v>
                </c:pt>
                <c:pt idx="97">
                  <c:v>137.46641346698124</c:v>
                </c:pt>
                <c:pt idx="98">
                  <c:v>135.32019043987836</c:v>
                </c:pt>
                <c:pt idx="99">
                  <c:v>133.06391076096287</c:v>
                </c:pt>
                <c:pt idx="100">
                  <c:v>130.69394870692392</c:v>
                </c:pt>
                <c:pt idx="101">
                  <c:v>128.20733450305613</c:v>
                </c:pt>
                <c:pt idx="102">
                  <c:v>125.60198632429896</c:v>
                </c:pt>
                <c:pt idx="103">
                  <c:v>122.87697202020452</c:v>
                </c:pt>
                <c:pt idx="104">
                  <c:v>120.03279248494059</c:v>
                </c:pt>
                <c:pt idx="105">
                  <c:v>117.0716729190998</c:v>
                </c:pt>
                <c:pt idx="106">
                  <c:v>113.99784184828442</c:v>
                </c:pt>
                <c:pt idx="107">
                  <c:v>110.81777153616322</c:v>
                </c:pt>
                <c:pt idx="108">
                  <c:v>107.54034868260717</c:v>
                </c:pt>
                <c:pt idx="109">
                  <c:v>104.17694269376589</c:v>
                </c:pt>
                <c:pt idx="110">
                  <c:v>100.74134201060529</c:v>
                </c:pt>
                <c:pt idx="111">
                  <c:v>97.249538097559437</c:v>
                </c:pt>
                <c:pt idx="112">
                  <c:v>93.719351665552011</c:v>
                </c:pt>
                <c:pt idx="113">
                  <c:v>90.16991485922162</c:v>
                </c:pt>
                <c:pt idx="114">
                  <c:v>86.62104320697442</c:v>
                </c:pt>
                <c:pt idx="115">
                  <c:v>83.092547911434636</c:v>
                </c:pt>
                <c:pt idx="116">
                  <c:v>79.603548602547804</c:v>
                </c:pt>
                <c:pt idx="117">
                  <c:v>76.17184660072131</c:v>
                </c:pt>
                <c:pt idx="118">
                  <c:v>72.813409061872221</c:v>
                </c:pt>
                <c:pt idx="119">
                  <c:v>69.541997516983642</c:v>
                </c:pt>
                <c:pt idx="120">
                  <c:v>66.368954233691852</c:v>
                </c:pt>
                <c:pt idx="121">
                  <c:v>63.303140713774113</c:v>
                </c:pt>
                <c:pt idx="122">
                  <c:v>60.351007747134005</c:v>
                </c:pt>
                <c:pt idx="123">
                  <c:v>57.516767419275652</c:v>
                </c:pt>
                <c:pt idx="124">
                  <c:v>54.802634351527615</c:v>
                </c:pt>
                <c:pt idx="125">
                  <c:v>52.209105116775376</c:v>
                </c:pt>
                <c:pt idx="126">
                  <c:v>49.73524955429491</c:v>
                </c:pt>
                <c:pt idx="127">
                  <c:v>47.378993945530652</c:v>
                </c:pt>
                <c:pt idx="128">
                  <c:v>45.137382389057564</c:v>
                </c:pt>
                <c:pt idx="129">
                  <c:v>43.00680837255976</c:v>
                </c:pt>
                <c:pt idx="130">
                  <c:v>40.983213061389989</c:v>
                </c:pt>
                <c:pt idx="131">
                  <c:v>39.062250113095018</c:v>
                </c:pt>
                <c:pt idx="132">
                  <c:v>37.239418994178266</c:v>
                </c:pt>
                <c:pt idx="133">
                  <c:v>35.510170026416148</c:v>
                </c:pt>
                <c:pt idx="134">
                  <c:v>33.869984956955363</c:v>
                </c:pt>
                <c:pt idx="135">
                  <c:v>32.314436942058563</c:v>
                </c:pt>
                <c:pt idx="136">
                  <c:v>30.839233633449112</c:v>
                </c:pt>
                <c:pt idx="137">
                  <c:v>29.440246690350136</c:v>
                </c:pt>
                <c:pt idx="138">
                  <c:v>28.113530601942671</c:v>
                </c:pt>
                <c:pt idx="139">
                  <c:v>26.855333254492024</c:v>
                </c:pt>
                <c:pt idx="140">
                  <c:v>25.662100251101776</c:v>
                </c:pt>
                <c:pt idx="141">
                  <c:v>24.530474609153714</c:v>
                </c:pt>
                <c:pt idx="142">
                  <c:v>23.457293128889518</c:v>
                </c:pt>
                <c:pt idx="143">
                  <c:v>22.439580447060223</c:v>
                </c:pt>
                <c:pt idx="144">
                  <c:v>21.474541558860864</c:v>
                </c:pt>
                <c:pt idx="145">
                  <c:v>20.559553404191888</c:v>
                </c:pt>
                <c:pt idx="146">
                  <c:v>19.692155964599635</c:v>
                </c:pt>
                <c:pt idx="147">
                  <c:v>18.870043199059495</c:v>
                </c:pt>
                <c:pt idx="148">
                  <c:v>18.091054054514672</c:v>
                </c:pt>
                <c:pt idx="149">
                  <c:v>17.353163715879219</c:v>
                </c:pt>
                <c:pt idx="150">
                  <c:v>16.654475205855022</c:v>
                </c:pt>
                <c:pt idx="151">
                  <c:v>15.993211403909697</c:v>
                </c:pt>
                <c:pt idx="152">
                  <c:v>15.367707523209873</c:v>
                </c:pt>
                <c:pt idx="153">
                  <c:v>14.776404061899314</c:v>
                </c:pt>
                <c:pt idx="154">
                  <c:v>14.217840228956476</c:v>
                </c:pt>
                <c:pt idx="155">
                  <c:v>13.690647833492051</c:v>
                </c:pt>
                <c:pt idx="156">
                  <c:v>13.193545618578696</c:v>
                </c:pt>
                <c:pt idx="157">
                  <c:v>12.725334015627141</c:v>
                </c:pt>
                <c:pt idx="158">
                  <c:v>12.284890292225242</c:v>
                </c:pt>
                <c:pt idx="159">
                  <c:v>11.871164064690333</c:v>
                </c:pt>
                <c:pt idx="160">
                  <c:v>11.483173145927424</c:v>
                </c:pt>
                <c:pt idx="161">
                  <c:v>11.119999699214475</c:v>
                </c:pt>
                <c:pt idx="162">
                  <c:v>10.780786669008364</c:v>
                </c:pt>
                <c:pt idx="163">
                  <c:v>10.464734460596873</c:v>
                </c:pt>
                <c:pt idx="164">
                  <c:v>10.17109784127021</c:v>
                </c:pt>
                <c:pt idx="165">
                  <c:v>9.8991830365577869</c:v>
                </c:pt>
                <c:pt idx="166">
                  <c:v>9.6483449958844005</c:v>
                </c:pt>
                <c:pt idx="167">
                  <c:v>9.4179848027058028</c:v>
                </c:pt>
                <c:pt idx="168">
                  <c:v>9.2075472047255289</c:v>
                </c:pt>
                <c:pt idx="169">
                  <c:v>9.0165182401758557</c:v>
                </c:pt>
                <c:pt idx="170">
                  <c:v>8.8444229363196314</c:v>
                </c:pt>
                <c:pt idx="171">
                  <c:v>8.6908230563089433</c:v>
                </c:pt>
                <c:pt idx="172">
                  <c:v>8.555314870306745</c:v>
                </c:pt>
                <c:pt idx="173">
                  <c:v>8.4375269263520352</c:v>
                </c:pt>
                <c:pt idx="174">
                  <c:v>8.3371177958262592</c:v>
                </c:pt>
                <c:pt idx="175">
                  <c:v>8.2537737675945948</c:v>
                </c:pt>
                <c:pt idx="176">
                  <c:v>8.1872064639584323</c:v>
                </c:pt>
                <c:pt idx="177">
                  <c:v>8.1371503505113765</c:v>
                </c:pt>
                <c:pt idx="178">
                  <c:v>8.103360110892794</c:v>
                </c:pt>
                <c:pt idx="179">
                  <c:v>8.0856078563232074</c:v>
                </c:pt>
                <c:pt idx="180">
                  <c:v>8.0836801387957848</c:v>
                </c:pt>
                <c:pt idx="181">
                  <c:v>8.0973747359523145</c:v>
                </c:pt>
                <c:pt idx="182">
                  <c:v>8.1264971751473638</c:v>
                </c:pt>
                <c:pt idx="183">
                  <c:v>8.1708569641249653</c:v>
                </c:pt>
                <c:pt idx="184">
                  <c:v>8.2302634963039623</c:v>
                </c:pt>
                <c:pt idx="185">
                  <c:v>8.304521600084712</c:v>
                </c:pt>
                <c:pt idx="186">
                  <c:v>8.3934267041255168</c:v>
                </c:pt>
                <c:pt idx="187">
                  <c:v>8.4967595944571315</c:v>
                </c:pt>
                <c:pt idx="188">
                  <c:v>8.6142807449498378</c:v>
                </c:pt>
                <c:pt idx="189">
                  <c:v>8.745724210359981</c:v>
                </c:pt>
                <c:pt idx="190">
                  <c:v>8.890791081328473</c:v>
                </c:pt>
                <c:pt idx="191">
                  <c:v>9.0491425136726207</c:v>
                </c:pt>
                <c:pt idx="192">
                  <c:v>9.2203923604448903</c:v>
                </c:pt>
                <c:pt idx="193">
                  <c:v>9.4040994548382741</c:v>
                </c:pt>
                <c:pt idx="194">
                  <c:v>9.5997596153318057</c:v>
                </c:pt>
                <c:pt idx="195">
                  <c:v>9.8067974715397952</c:v>
                </c:pt>
                <c:pt idx="196">
                  <c:v>10.024558239974596</c:v>
                </c:pt>
                <c:pt idx="197">
                  <c:v>10.252299612936952</c:v>
                </c:pt>
                <c:pt idx="198">
                  <c:v>10.489183960320076</c:v>
                </c:pt>
                <c:pt idx="199">
                  <c:v>10.734271082105494</c:v>
                </c:pt>
                <c:pt idx="200">
                  <c:v>10.986511787167217</c:v>
                </c:pt>
              </c:numCache>
            </c:numRef>
          </c:yVal>
          <c:smooth val="1"/>
        </c:ser>
        <c:ser>
          <c:idx val="0"/>
          <c:order val="1"/>
          <c:tx>
            <c:v> Ti(s) Phase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Compensation!$Z$64:$Z$264</c:f>
              <c:numCache>
                <c:formatCode>General</c:formatCode>
                <c:ptCount val="201"/>
                <c:pt idx="0">
                  <c:v>-178.59242908924497</c:v>
                </c:pt>
                <c:pt idx="1">
                  <c:v>-178.52613063505672</c:v>
                </c:pt>
                <c:pt idx="2">
                  <c:v>-178.45671330427174</c:v>
                </c:pt>
                <c:pt idx="3">
                  <c:v>-178.38403094829206</c:v>
                </c:pt>
                <c:pt idx="4">
                  <c:v>-178.30793065487143</c:v>
                </c:pt>
                <c:pt idx="5">
                  <c:v>-178.22825244767731</c:v>
                </c:pt>
                <c:pt idx="6">
                  <c:v>-178.14482897439143</c:v>
                </c:pt>
                <c:pt idx="7">
                  <c:v>-178.05748518320365</c:v>
                </c:pt>
                <c:pt idx="8">
                  <c:v>-177.96603798760475</c:v>
                </c:pt>
                <c:pt idx="9">
                  <c:v>-177.87029591944531</c:v>
                </c:pt>
                <c:pt idx="10">
                  <c:v>-177.77005877030052</c:v>
                </c:pt>
                <c:pt idx="11">
                  <c:v>-177.66511722126921</c:v>
                </c:pt>
                <c:pt idx="12">
                  <c:v>-177.5552524614383</c:v>
                </c:pt>
                <c:pt idx="13">
                  <c:v>-177.44023579536682</c:v>
                </c:pt>
                <c:pt idx="14">
                  <c:v>-177.31982824008753</c:v>
                </c:pt>
                <c:pt idx="15">
                  <c:v>-177.19378011229193</c:v>
                </c:pt>
                <c:pt idx="16">
                  <c:v>-177.06183060656124</c:v>
                </c:pt>
                <c:pt idx="17">
                  <c:v>-176.92370736573366</c:v>
                </c:pt>
                <c:pt idx="18">
                  <c:v>-176.77912604476302</c:v>
                </c:pt>
                <c:pt idx="19">
                  <c:v>-176.62778986972901</c:v>
                </c:pt>
                <c:pt idx="20">
                  <c:v>-176.46938919401225</c:v>
                </c:pt>
                <c:pt idx="21">
                  <c:v>-176.30360105405165</c:v>
                </c:pt>
                <c:pt idx="22">
                  <c:v>-176.13008872756706</c:v>
                </c:pt>
                <c:pt idx="23">
                  <c:v>-175.94850129766201</c:v>
                </c:pt>
                <c:pt idx="24">
                  <c:v>-175.75847322682702</c:v>
                </c:pt>
                <c:pt idx="25">
                  <c:v>-175.55962394555684</c:v>
                </c:pt>
                <c:pt idx="26">
                  <c:v>-175.35155746107748</c:v>
                </c:pt>
                <c:pt idx="27">
                  <c:v>-175.13386199256919</c:v>
                </c:pt>
                <c:pt idx="28">
                  <c:v>-174.90610964027292</c:v>
                </c:pt>
                <c:pt idx="29">
                  <c:v>-174.66785609699727</c:v>
                </c:pt>
                <c:pt idx="30">
                  <c:v>-174.41864041180924</c:v>
                </c:pt>
                <c:pt idx="31">
                  <c:v>-174.15798481710655</c:v>
                </c:pt>
                <c:pt idx="32">
                  <c:v>-173.88539463184443</c:v>
                </c:pt>
                <c:pt idx="33">
                  <c:v>-173.600358255435</c:v>
                </c:pt>
                <c:pt idx="34">
                  <c:v>-173.30234726875904</c:v>
                </c:pt>
                <c:pt idx="35">
                  <c:v>-172.99081666084197</c:v>
                </c:pt>
                <c:pt idx="36">
                  <c:v>-172.66520520203662</c:v>
                </c:pt>
                <c:pt idx="37">
                  <c:v>-172.32493598704133</c:v>
                </c:pt>
                <c:pt idx="38">
                  <c:v>-171.96941717373605</c:v>
                </c:pt>
                <c:pt idx="39">
                  <c:v>-171.59804294663829</c:v>
                </c:pt>
                <c:pt idx="40">
                  <c:v>-171.21019473672911</c:v>
                </c:pt>
                <c:pt idx="41">
                  <c:v>-170.80524273243864</c:v>
                </c:pt>
                <c:pt idx="42">
                  <c:v>-170.38254771964981</c:v>
                </c:pt>
                <c:pt idx="43">
                  <c:v>-169.94146329160603</c:v>
                </c:pt>
                <c:pt idx="44">
                  <c:v>-169.48133847247917</c:v>
                </c:pt>
                <c:pt idx="45">
                  <c:v>-169.00152080094853</c:v>
                </c:pt>
                <c:pt idx="46">
                  <c:v>-168.50135992229093</c:v>
                </c:pt>
                <c:pt idx="47">
                  <c:v>-167.98021173897988</c:v>
                </c:pt>
                <c:pt idx="48">
                  <c:v>-167.43744317041401</c:v>
                </c:pt>
                <c:pt idx="49">
                  <c:v>-166.87243757183901</c:v>
                </c:pt>
                <c:pt idx="50">
                  <c:v>-166.28460086048901</c:v>
                </c:pt>
                <c:pt idx="51">
                  <c:v>-165.67336839307188</c:v>
                </c:pt>
                <c:pt idx="52">
                  <c:v>-165.038212632578</c:v>
                </c:pt>
                <c:pt idx="53">
                  <c:v>-164.37865163357637</c:v>
                </c:pt>
                <c:pt idx="54">
                  <c:v>-163.69425836326201</c:v>
                </c:pt>
                <c:pt idx="55">
                  <c:v>-162.98467086013551</c:v>
                </c:pt>
                <c:pt idx="56">
                  <c:v>-162.24960321300381</c:v>
                </c:pt>
                <c:pt idx="57">
                  <c:v>-161.48885731974866</c:v>
                </c:pt>
                <c:pt idx="58">
                  <c:v>-160.70233535795379</c:v>
                </c:pt>
                <c:pt idx="59">
                  <c:v>-159.89005286816834</c:v>
                </c:pt>
                <c:pt idx="60">
                  <c:v>-159.05215231576156</c:v>
                </c:pt>
                <c:pt idx="61">
                  <c:v>-158.1889169598152</c:v>
                </c:pt>
                <c:pt idx="62">
                  <c:v>-157.30078481854324</c:v>
                </c:pt>
                <c:pt idx="63">
                  <c:v>-156.38836248209805</c:v>
                </c:pt>
                <c:pt idx="64">
                  <c:v>-155.45243848753194</c:v>
                </c:pt>
                <c:pt idx="65">
                  <c:v>-154.49399593994562</c:v>
                </c:pt>
                <c:pt idx="66">
                  <c:v>-153.51422404162889</c:v>
                </c:pt>
                <c:pt idx="67">
                  <c:v>-152.51452818085312</c:v>
                </c:pt>
                <c:pt idx="68">
                  <c:v>-151.49653823755961</c:v>
                </c:pt>
                <c:pt idx="69">
                  <c:v>-150.46211478804412</c:v>
                </c:pt>
                <c:pt idx="70">
                  <c:v>-149.41335293800364</c:v>
                </c:pt>
                <c:pt idx="71">
                  <c:v>-148.3525835853936</c:v>
                </c:pt>
                <c:pt idx="72">
                  <c:v>-147.28237201275601</c:v>
                </c:pt>
                <c:pt idx="73">
                  <c:v>-146.20551383314702</c:v>
                </c:pt>
                <c:pt idx="74">
                  <c:v>-145.12502846315292</c:v>
                </c:pt>
                <c:pt idx="75">
                  <c:v>-144.04415046823303</c:v>
                </c:pt>
                <c:pt idx="76">
                  <c:v>-142.96631931613038</c:v>
                </c:pt>
                <c:pt idx="77">
                  <c:v>-141.89516827960523</c:v>
                </c:pt>
                <c:pt idx="78">
                  <c:v>-140.83451344687347</c:v>
                </c:pt>
                <c:pt idx="79">
                  <c:v>-139.78834402551348</c:v>
                </c:pt>
                <c:pt idx="80">
                  <c:v>-138.760815365014</c:v>
                </c:pt>
                <c:pt idx="81">
                  <c:v>-137.75624638164692</c:v>
                </c:pt>
                <c:pt idx="82">
                  <c:v>-136.77912336124032</c:v>
                </c:pt>
                <c:pt idx="83">
                  <c:v>-135.83411246517556</c:v>
                </c:pt>
                <c:pt idx="84">
                  <c:v>-134.92608371059123</c:v>
                </c:pt>
                <c:pt idx="85">
                  <c:v>-134.06014979431822</c:v>
                </c:pt>
                <c:pt idx="86">
                  <c:v>-133.2417239649283</c:v>
                </c:pt>
                <c:pt idx="87">
                  <c:v>-132.47660234056121</c:v>
                </c:pt>
                <c:pt idx="88">
                  <c:v>-131.77107780203315</c:v>
                </c:pt>
                <c:pt idx="89">
                  <c:v>-131.13209513097385</c:v>
                </c:pt>
                <c:pt idx="90">
                  <c:v>-130.56746082335002</c:v>
                </c:pt>
                <c:pt idx="91">
                  <c:v>-130.08612663155321</c:v>
                </c:pt>
                <c:pt idx="92">
                  <c:v>-129.69857439407312</c:v>
                </c:pt>
                <c:pt idx="93">
                  <c:v>-129.41734275799308</c:v>
                </c:pt>
                <c:pt idx="94">
                  <c:v>-129.25775673270203</c:v>
                </c:pt>
                <c:pt idx="95">
                  <c:v>-129.23895327880464</c:v>
                </c:pt>
                <c:pt idx="96">
                  <c:v>-129.38534835203518</c:v>
                </c:pt>
                <c:pt idx="97">
                  <c:v>-129.72877709596537</c:v>
                </c:pt>
                <c:pt idx="98">
                  <c:v>-130.3116844556038</c:v>
                </c:pt>
                <c:pt idx="99">
                  <c:v>-131.19199404461969</c:v>
                </c:pt>
                <c:pt idx="100">
                  <c:v>-132.45072108373148</c:v>
                </c:pt>
                <c:pt idx="101">
                  <c:v>-134.20416426069914</c:v>
                </c:pt>
                <c:pt idx="102">
                  <c:v>-136.6238305189423</c:v>
                </c:pt>
                <c:pt idx="103">
                  <c:v>-139.96928638123296</c:v>
                </c:pt>
                <c:pt idx="104">
                  <c:v>-144.64108216457919</c:v>
                </c:pt>
                <c:pt idx="105">
                  <c:v>-151.25622943637913</c:v>
                </c:pt>
                <c:pt idx="106">
                  <c:v>-160.70582911577651</c:v>
                </c:pt>
                <c:pt idx="107">
                  <c:v>-173.97272345882749</c:v>
                </c:pt>
                <c:pt idx="108">
                  <c:v>168.84907651335322</c:v>
                </c:pt>
                <c:pt idx="109">
                  <c:v>150.09002506355628</c:v>
                </c:pt>
                <c:pt idx="110">
                  <c:v>133.48335892615654</c:v>
                </c:pt>
                <c:pt idx="111">
                  <c:v>120.84865310344537</c:v>
                </c:pt>
                <c:pt idx="112">
                  <c:v>111.79705115890594</c:v>
                </c:pt>
                <c:pt idx="113">
                  <c:v>105.32125977443751</c:v>
                </c:pt>
                <c:pt idx="114">
                  <c:v>100.58107473806966</c:v>
                </c:pt>
                <c:pt idx="115">
                  <c:v>97.006769019753818</c:v>
                </c:pt>
                <c:pt idx="116">
                  <c:v>94.229705294116002</c:v>
                </c:pt>
                <c:pt idx="117">
                  <c:v>92.010376004559689</c:v>
                </c:pt>
                <c:pt idx="118">
                  <c:v>90.189831064679893</c:v>
                </c:pt>
                <c:pt idx="119">
                  <c:v>88.659793625017002</c:v>
                </c:pt>
                <c:pt idx="120">
                  <c:v>87.344536488809567</c:v>
                </c:pt>
                <c:pt idx="121">
                  <c:v>86.189759819371147</c:v>
                </c:pt>
                <c:pt idx="122">
                  <c:v>85.155619281013145</c:v>
                </c:pt>
                <c:pt idx="123">
                  <c:v>84.212249747211459</c:v>
                </c:pt>
                <c:pt idx="124">
                  <c:v>83.336821332039634</c:v>
                </c:pt>
                <c:pt idx="125">
                  <c:v>82.511558171840093</c:v>
                </c:pt>
                <c:pt idx="126">
                  <c:v>81.722376121917748</c:v>
                </c:pt>
                <c:pt idx="127">
                  <c:v>80.957927154831538</c:v>
                </c:pt>
                <c:pt idx="128">
                  <c:v>80.208916566717562</c:v>
                </c:pt>
                <c:pt idx="129">
                  <c:v>79.467606706194573</c:v>
                </c:pt>
                <c:pt idx="130">
                  <c:v>78.727450497798202</c:v>
                </c:pt>
                <c:pt idx="131">
                  <c:v>77.982816759777904</c:v>
                </c:pt>
                <c:pt idx="132">
                  <c:v>77.228781413746418</c:v>
                </c:pt>
                <c:pt idx="133">
                  <c:v>76.460966642130813</c:v>
                </c:pt>
                <c:pt idx="134">
                  <c:v>75.675415375510795</c:v>
                </c:pt>
                <c:pt idx="135">
                  <c:v>74.868492114731623</c:v>
                </c:pt>
                <c:pt idx="136">
                  <c:v>74.036803595371083</c:v>
                </c:pt>
                <c:pt idx="137">
                  <c:v>73.177134557289833</c:v>
                </c:pt>
                <c:pt idx="138">
                  <c:v>72.286395131607335</c:v>
                </c:pt>
                <c:pt idx="139">
                  <c:v>71.361577261345943</c:v>
                </c:pt>
                <c:pt idx="140">
                  <c:v>70.399718237393714</c:v>
                </c:pt>
                <c:pt idx="141">
                  <c:v>69.397869931573823</c:v>
                </c:pt>
                <c:pt idx="142">
                  <c:v>68.353072694314392</c:v>
                </c:pt>
                <c:pt idx="143">
                  <c:v>67.262333191787818</c:v>
                </c:pt>
                <c:pt idx="144">
                  <c:v>66.122605712572309</c:v>
                </c:pt>
                <c:pt idx="145">
                  <c:v>64.930776696370231</c:v>
                </c:pt>
                <c:pt idx="146">
                  <c:v>63.683652441985629</c:v>
                </c:pt>
                <c:pt idx="147">
                  <c:v>62.377950150185157</c:v>
                </c:pt>
                <c:pt idx="148">
                  <c:v>61.010292658376812</c:v>
                </c:pt>
                <c:pt idx="149">
                  <c:v>59.577207435056891</c:v>
                </c:pt>
                <c:pt idx="150">
                  <c:v>58.075130627252179</c:v>
                </c:pt>
                <c:pt idx="151">
                  <c:v>56.500417195281671</c:v>
                </c:pt>
                <c:pt idx="152">
                  <c:v>54.849358423693758</c:v>
                </c:pt>
                <c:pt idx="153">
                  <c:v>53.118208357232973</c:v>
                </c:pt>
                <c:pt idx="154">
                  <c:v>51.303220960437017</c:v>
                </c:pt>
                <c:pt idx="155">
                  <c:v>49.40070001279949</c:v>
                </c:pt>
                <c:pt idx="156">
                  <c:v>47.407063888795932</c:v>
                </c:pt>
                <c:pt idx="157">
                  <c:v>45.318927377513546</c:v>
                </c:pt>
                <c:pt idx="158">
                  <c:v>43.133202496138665</c:v>
                </c:pt>
                <c:pt idx="159">
                  <c:v>40.84721975361964</c:v>
                </c:pt>
                <c:pt idx="160">
                  <c:v>38.458870421778755</c:v>
                </c:pt>
                <c:pt idx="161">
                  <c:v>35.966768967775096</c:v>
                </c:pt>
                <c:pt idx="162">
                  <c:v>33.370432813926271</c:v>
                </c:pt>
                <c:pt idx="163">
                  <c:v>30.67047399570879</c:v>
                </c:pt>
                <c:pt idx="164">
                  <c:v>27.868794165668078</c:v>
                </c:pt>
                <c:pt idx="165">
                  <c:v>24.968770970494688</c:v>
                </c:pt>
                <c:pt idx="166">
                  <c:v>21.975420530768503</c:v>
                </c:pt>
                <c:pt idx="167">
                  <c:v>18.895518194076203</c:v>
                </c:pt>
                <c:pt idx="168">
                  <c:v>15.737658672405985</c:v>
                </c:pt>
                <c:pt idx="169">
                  <c:v>12.512237887345691</c:v>
                </c:pt>
                <c:pt idx="170">
                  <c:v>9.2313429100491362</c:v>
                </c:pt>
                <c:pt idx="171">
                  <c:v>5.9085434336908804</c:v>
                </c:pt>
                <c:pt idx="172">
                  <c:v>2.5585877410517526</c:v>
                </c:pt>
                <c:pt idx="173">
                  <c:v>-0.80298309928181766</c:v>
                </c:pt>
                <c:pt idx="174">
                  <c:v>-4.1602788449459922</c:v>
                </c:pt>
                <c:pt idx="175">
                  <c:v>-7.4975298072889416</c:v>
                </c:pt>
                <c:pt idx="176">
                  <c:v>-10.799547382863125</c:v>
                </c:pt>
                <c:pt idx="177">
                  <c:v>-14.05214135680049</c:v>
                </c:pt>
                <c:pt idx="178">
                  <c:v>-17.242465842705457</c:v>
                </c:pt>
                <c:pt idx="179">
                  <c:v>-20.359274977179211</c:v>
                </c:pt>
                <c:pt idx="180">
                  <c:v>-23.393080240121094</c:v>
                </c:pt>
                <c:pt idx="181">
                  <c:v>-26.33621159415452</c:v>
                </c:pt>
                <c:pt idx="182">
                  <c:v>-29.182792994121513</c:v>
                </c:pt>
                <c:pt idx="183">
                  <c:v>-31.928648346739379</c:v>
                </c:pt>
                <c:pt idx="184">
                  <c:v>-34.571156542427588</c:v>
                </c:pt>
                <c:pt idx="185">
                  <c:v>-37.109074131034617</c:v>
                </c:pt>
                <c:pt idx="186">
                  <c:v>-39.542342279330654</c:v>
                </c:pt>
                <c:pt idx="187">
                  <c:v>-41.871891618741358</c:v>
                </c:pt>
                <c:pt idx="188">
                  <c:v>-44.09945516370388</c:v>
                </c:pt>
                <c:pt idx="189">
                  <c:v>-46.227396171631483</c:v>
                </c:pt>
                <c:pt idx="190">
                  <c:v>-48.258554943478828</c:v>
                </c:pt>
                <c:pt idx="191">
                  <c:v>-50.196116276067755</c:v>
                </c:pt>
                <c:pt idx="192">
                  <c:v>-52.043497594114058</c:v>
                </c:pt>
                <c:pt idx="193">
                  <c:v>-53.804256653746677</c:v>
                </c:pt>
                <c:pt idx="194">
                  <c:v>-55.482017024514619</c:v>
                </c:pt>
                <c:pt idx="195">
                  <c:v>-57.080409217541387</c:v>
                </c:pt>
                <c:pt idx="196">
                  <c:v>-58.603025234945491</c:v>
                </c:pt>
                <c:pt idx="197">
                  <c:v>-60.0533843866681</c:v>
                </c:pt>
                <c:pt idx="198">
                  <c:v>-61.434908390420276</c:v>
                </c:pt>
                <c:pt idx="199">
                  <c:v>-62.750903990762367</c:v>
                </c:pt>
                <c:pt idx="200">
                  <c:v>-64.004551571347079</c:v>
                </c:pt>
              </c:numCache>
            </c:numRef>
          </c:yVal>
          <c:smooth val="1"/>
        </c:ser>
        <c:ser>
          <c:idx val="4"/>
          <c:order val="2"/>
          <c:tx>
            <c:v> Tv(s) Phase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Compensation!$AD$64:$AD$264</c:f>
              <c:numCache>
                <c:formatCode>General</c:formatCode>
                <c:ptCount val="201"/>
                <c:pt idx="0">
                  <c:v>179.89666742927142</c:v>
                </c:pt>
                <c:pt idx="1">
                  <c:v>179.89179703353207</c:v>
                </c:pt>
                <c:pt idx="2">
                  <c:v>179.88669703174045</c:v>
                </c:pt>
                <c:pt idx="3">
                  <c:v>179.88135659232128</c:v>
                </c:pt>
                <c:pt idx="4">
                  <c:v>179.87576437165581</c:v>
                </c:pt>
                <c:pt idx="5">
                  <c:v>179.86990848971757</c:v>
                </c:pt>
                <c:pt idx="6">
                  <c:v>179.8637765045257</c:v>
                </c:pt>
                <c:pt idx="7">
                  <c:v>179.85735538535454</c:v>
                </c:pt>
                <c:pt idx="8">
                  <c:v>179.85063148463527</c:v>
                </c:pt>
                <c:pt idx="9">
                  <c:v>179.84359050848138</c:v>
                </c:pt>
                <c:pt idx="10">
                  <c:v>179.83621748576482</c:v>
                </c:pt>
                <c:pt idx="11">
                  <c:v>179.82849673566628</c:v>
                </c:pt>
                <c:pt idx="12">
                  <c:v>179.82041183361707</c:v>
                </c:pt>
                <c:pt idx="13">
                  <c:v>179.81194557554531</c:v>
                </c:pt>
                <c:pt idx="14">
                  <c:v>179.80307994033262</c:v>
                </c:pt>
                <c:pt idx="15">
                  <c:v>179.79379605038244</c:v>
                </c:pt>
                <c:pt idx="16">
                  <c:v>179.78407413019187</c:v>
                </c:pt>
                <c:pt idx="17">
                  <c:v>179.77389346281385</c:v>
                </c:pt>
                <c:pt idx="18">
                  <c:v>179.76323234408594</c:v>
                </c:pt>
                <c:pt idx="19">
                  <c:v>179.75206803449379</c:v>
                </c:pt>
                <c:pt idx="20">
                  <c:v>179.74037670852701</c:v>
                </c:pt>
                <c:pt idx="21">
                  <c:v>179.7281334013733</c:v>
                </c:pt>
                <c:pt idx="22">
                  <c:v>179.71531195278484</c:v>
                </c:pt>
                <c:pt idx="23">
                  <c:v>179.7018849479368</c:v>
                </c:pt>
                <c:pt idx="24">
                  <c:v>179.68782365508164</c:v>
                </c:pt>
                <c:pt idx="25">
                  <c:v>179.67309795978665</c:v>
                </c:pt>
                <c:pt idx="26">
                  <c:v>179.65767629552221</c:v>
                </c:pt>
                <c:pt idx="27">
                  <c:v>179.64152557034654</c:v>
                </c:pt>
                <c:pt idx="28">
                  <c:v>179.62461108940863</c:v>
                </c:pt>
                <c:pt idx="29">
                  <c:v>179.60689647296411</c:v>
                </c:pt>
                <c:pt idx="30">
                  <c:v>179.58834356956706</c:v>
                </c:pt>
                <c:pt idx="31">
                  <c:v>179.56891236406733</c:v>
                </c:pt>
                <c:pt idx="32">
                  <c:v>179.54856088000292</c:v>
                </c:pt>
                <c:pt idx="33">
                  <c:v>179.52724507593328</c:v>
                </c:pt>
                <c:pt idx="34">
                  <c:v>179.50491873520838</c:v>
                </c:pt>
                <c:pt idx="35">
                  <c:v>179.48153334861249</c:v>
                </c:pt>
                <c:pt idx="36">
                  <c:v>179.45703798925604</c:v>
                </c:pt>
                <c:pt idx="37">
                  <c:v>179.43137917901493</c:v>
                </c:pt>
                <c:pt idx="38">
                  <c:v>179.40450074573394</c:v>
                </c:pt>
                <c:pt idx="39">
                  <c:v>179.37634367031279</c:v>
                </c:pt>
                <c:pt idx="40">
                  <c:v>179.3468459226853</c:v>
                </c:pt>
                <c:pt idx="41">
                  <c:v>179.3159422855756</c:v>
                </c:pt>
                <c:pt idx="42">
                  <c:v>179.28356416477104</c:v>
                </c:pt>
                <c:pt idx="43">
                  <c:v>179.24963938448599</c:v>
                </c:pt>
                <c:pt idx="44">
                  <c:v>179.21409196620067</c:v>
                </c:pt>
                <c:pt idx="45">
                  <c:v>179.17684188913927</c:v>
                </c:pt>
                <c:pt idx="46">
                  <c:v>179.13780483029942</c:v>
                </c:pt>
                <c:pt idx="47">
                  <c:v>179.09689188165245</c:v>
                </c:pt>
                <c:pt idx="48">
                  <c:v>179.05400924179744</c:v>
                </c:pt>
                <c:pt idx="49">
                  <c:v>179.00905787895911</c:v>
                </c:pt>
                <c:pt idx="50">
                  <c:v>178.961933161768</c:v>
                </c:pt>
                <c:pt idx="51">
                  <c:v>178.91252445373183</c:v>
                </c:pt>
                <c:pt idx="52">
                  <c:v>178.86071466669512</c:v>
                </c:pt>
                <c:pt idx="53">
                  <c:v>178.80637976786574</c:v>
                </c:pt>
                <c:pt idx="54">
                  <c:v>178.7493882341528</c:v>
                </c:pt>
                <c:pt idx="55">
                  <c:v>178.68960044657763</c:v>
                </c:pt>
                <c:pt idx="56">
                  <c:v>178.62686801637147</c:v>
                </c:pt>
                <c:pt idx="57">
                  <c:v>178.56103303302049</c:v>
                </c:pt>
                <c:pt idx="58">
                  <c:v>178.49192722292284</c:v>
                </c:pt>
                <c:pt idx="59">
                  <c:v>178.4193710054391</c:v>
                </c:pt>
                <c:pt idx="60">
                  <c:v>178.34317243088262</c:v>
                </c:pt>
                <c:pt idx="61">
                  <c:v>178.26312598234034</c:v>
                </c:pt>
                <c:pt idx="62">
                  <c:v>178.17901122005156</c:v>
                </c:pt>
                <c:pt idx="63">
                  <c:v>178.09059124328471</c:v>
                </c:pt>
                <c:pt idx="64">
                  <c:v>177.99761094011302</c:v>
                </c:pt>
                <c:pt idx="65">
                  <c:v>177.89979499002013</c:v>
                </c:pt>
                <c:pt idx="66">
                  <c:v>177.79684557765918</c:v>
                </c:pt>
                <c:pt idx="67">
                  <c:v>177.68843976807065</c:v>
                </c:pt>
                <c:pt idx="68">
                  <c:v>177.57422648389596</c:v>
                </c:pt>
                <c:pt idx="69">
                  <c:v>177.45382301317107</c:v>
                </c:pt>
                <c:pt idx="70">
                  <c:v>177.326810961593</c:v>
                </c:pt>
                <c:pt idx="71">
                  <c:v>177.19273154500578</c:v>
                </c:pt>
                <c:pt idx="72">
                  <c:v>177.05108009532645</c:v>
                </c:pt>
                <c:pt idx="73">
                  <c:v>176.90129962502138</c:v>
                </c:pt>
                <c:pt idx="74">
                  <c:v>176.74277325996457</c:v>
                </c:pt>
                <c:pt idx="75">
                  <c:v>176.57481530597974</c:v>
                </c:pt>
                <c:pt idx="76">
                  <c:v>176.39666065780702</c:v>
                </c:pt>
                <c:pt idx="77">
                  <c:v>176.20745218693219</c:v>
                </c:pt>
                <c:pt idx="78">
                  <c:v>176.00622565164952</c:v>
                </c:pt>
                <c:pt idx="79">
                  <c:v>175.79189155207652</c:v>
                </c:pt>
                <c:pt idx="80">
                  <c:v>175.56321319522638</c:v>
                </c:pt>
                <c:pt idx="81">
                  <c:v>175.318780027694</c:v>
                </c:pt>
                <c:pt idx="82">
                  <c:v>175.05697501787077</c:v>
                </c:pt>
                <c:pt idx="83">
                  <c:v>174.77593450022769</c:v>
                </c:pt>
                <c:pt idx="84">
                  <c:v>174.47349839447989</c:v>
                </c:pt>
                <c:pt idx="85">
                  <c:v>174.14714802947182</c:v>
                </c:pt>
                <c:pt idx="86">
                  <c:v>173.79392785810151</c:v>
                </c:pt>
                <c:pt idx="87">
                  <c:v>173.41034603104646</c:v>
                </c:pt>
                <c:pt idx="88">
                  <c:v>172.99224693168205</c:v>
                </c:pt>
                <c:pt idx="89">
                  <c:v>172.53464610076614</c:v>
                </c:pt>
                <c:pt idx="90">
                  <c:v>172.03151409273923</c:v>
                </c:pt>
                <c:pt idx="91">
                  <c:v>171.4754900701715</c:v>
                </c:pt>
                <c:pt idx="92">
                  <c:v>170.85749734267338</c:v>
                </c:pt>
                <c:pt idx="93">
                  <c:v>170.16621993681542</c:v>
                </c:pt>
                <c:pt idx="94">
                  <c:v>169.38737889870237</c:v>
                </c:pt>
                <c:pt idx="95">
                  <c:v>168.50271473474561</c:v>
                </c:pt>
                <c:pt idx="96">
                  <c:v>167.48853016931452</c:v>
                </c:pt>
                <c:pt idx="97">
                  <c:v>166.31356112972696</c:v>
                </c:pt>
                <c:pt idx="98">
                  <c:v>164.93579831017635</c:v>
                </c:pt>
                <c:pt idx="99">
                  <c:v>163.29763113534187</c:v>
                </c:pt>
                <c:pt idx="100">
                  <c:v>161.31824799651127</c:v>
                </c:pt>
                <c:pt idx="101">
                  <c:v>158.88145764115941</c:v>
                </c:pt>
                <c:pt idx="102">
                  <c:v>155.81577748298372</c:v>
                </c:pt>
                <c:pt idx="103">
                  <c:v>151.86159504208541</c:v>
                </c:pt>
                <c:pt idx="104">
                  <c:v>146.61825601541031</c:v>
                </c:pt>
                <c:pt idx="105">
                  <c:v>139.46859852047402</c:v>
                </c:pt>
                <c:pt idx="106">
                  <c:v>129.52133603454186</c:v>
                </c:pt>
                <c:pt idx="107">
                  <c:v>115.79341574550111</c:v>
                </c:pt>
                <c:pt idx="108">
                  <c:v>98.190600734489792</c:v>
                </c:pt>
                <c:pt idx="109">
                  <c:v>79.043112909828523</c:v>
                </c:pt>
                <c:pt idx="110">
                  <c:v>62.083958369555305</c:v>
                </c:pt>
                <c:pt idx="111">
                  <c:v>49.13249069092339</c:v>
                </c:pt>
                <c:pt idx="112">
                  <c:v>39.799648073130982</c:v>
                </c:pt>
                <c:pt idx="113">
                  <c:v>33.077954145148766</c:v>
                </c:pt>
                <c:pt idx="114">
                  <c:v>28.127049654646555</c:v>
                </c:pt>
                <c:pt idx="115">
                  <c:v>24.377085747821752</c:v>
                </c:pt>
                <c:pt idx="116">
                  <c:v>21.459341252498149</c:v>
                </c:pt>
                <c:pt idx="117">
                  <c:v>19.134267112478199</c:v>
                </c:pt>
                <c:pt idx="118">
                  <c:v>17.242918121952812</c:v>
                </c:pt>
                <c:pt idx="119">
                  <c:v>15.677072439459096</c:v>
                </c:pt>
                <c:pt idx="120">
                  <c:v>14.361111514707176</c:v>
                </c:pt>
                <c:pt idx="121">
                  <c:v>13.240901118492161</c:v>
                </c:pt>
                <c:pt idx="122">
                  <c:v>12.276822663002264</c:v>
                </c:pt>
                <c:pt idx="123">
                  <c:v>11.43929998936332</c:v>
                </c:pt>
                <c:pt idx="124">
                  <c:v>10.70585841935241</c:v>
                </c:pt>
                <c:pt idx="125">
                  <c:v>10.059146536995343</c:v>
                </c:pt>
                <c:pt idx="126">
                  <c:v>9.4855769014704379</c:v>
                </c:pt>
                <c:pt idx="127">
                  <c:v>8.974373512485613</c:v>
                </c:pt>
                <c:pt idx="128">
                  <c:v>8.516892167123217</c:v>
                </c:pt>
                <c:pt idx="129">
                  <c:v>8.1061274531821255</c:v>
                </c:pt>
                <c:pt idx="130">
                  <c:v>7.7363496792184208</c:v>
                </c:pt>
                <c:pt idx="131">
                  <c:v>7.4028337668628694</c:v>
                </c:pt>
                <c:pt idx="132">
                  <c:v>7.1016542256988942</c:v>
                </c:pt>
                <c:pt idx="133">
                  <c:v>6.8295282858004782</c:v>
                </c:pt>
                <c:pt idx="134">
                  <c:v>6.5836945845702246</c:v>
                </c:pt>
                <c:pt idx="135">
                  <c:v>6.3618184213816278</c:v>
                </c:pt>
                <c:pt idx="136">
                  <c:v>6.1619170884980008</c:v>
                </c:pt>
                <c:pt idx="137">
                  <c:v>5.9823005317931859</c:v>
                </c:pt>
                <c:pt idx="138">
                  <c:v>5.8215238312375845</c:v>
                </c:pt>
                <c:pt idx="139">
                  <c:v>5.6783488778623905</c:v>
                </c:pt>
                <c:pt idx="140">
                  <c:v>5.5517132671230911</c:v>
                </c:pt>
                <c:pt idx="141">
                  <c:v>5.4407049001443681</c:v>
                </c:pt>
                <c:pt idx="142">
                  <c:v>5.3445411335168842</c:v>
                </c:pt>
                <c:pt idx="143">
                  <c:v>5.2625515793411921</c:v>
                </c:pt>
                <c:pt idx="144">
                  <c:v>5.1941638540680515</c:v>
                </c:pt>
                <c:pt idx="145">
                  <c:v>5.138891724392181</c:v>
                </c:pt>
                <c:pt idx="146">
                  <c:v>5.0963252132113439</c:v>
                </c:pt>
                <c:pt idx="147">
                  <c:v>5.0661223172795928</c:v>
                </c:pt>
                <c:pt idx="148">
                  <c:v>5.0480020570975341</c:v>
                </c:pt>
                <c:pt idx="149">
                  <c:v>5.0417386335320771</c:v>
                </c:pt>
                <c:pt idx="150">
                  <c:v>5.0471565081453491</c:v>
                </c:pt>
                <c:pt idx="151">
                  <c:v>5.0641262578778026</c:v>
                </c:pt>
                <c:pt idx="152">
                  <c:v>5.0925610815336313</c:v>
                </c:pt>
                <c:pt idx="153">
                  <c:v>5.1324138569701461</c:v>
                </c:pt>
                <c:pt idx="154">
                  <c:v>5.1836746651287342</c:v>
                </c:pt>
                <c:pt idx="155">
                  <c:v>5.246368710948758</c:v>
                </c:pt>
                <c:pt idx="156">
                  <c:v>5.3205545824466185</c:v>
                </c:pt>
                <c:pt idx="157">
                  <c:v>5.4063227983507716</c:v>
                </c:pt>
                <c:pt idx="158">
                  <c:v>5.5037946020657387</c:v>
                </c:pt>
                <c:pt idx="159">
                  <c:v>5.6131209657137333</c:v>
                </c:pt>
                <c:pt idx="160">
                  <c:v>5.7344817728244379</c:v>
                </c:pt>
                <c:pt idx="161">
                  <c:v>5.8680851521043564</c:v>
                </c:pt>
                <c:pt idx="162">
                  <c:v>6.0141669377804305</c:v>
                </c:pt>
                <c:pt idx="163">
                  <c:v>6.1729902343899141</c:v>
                </c:pt>
                <c:pt idx="164">
                  <c:v>6.3448450656851207</c:v>
                </c:pt>
                <c:pt idx="165">
                  <c:v>6.5300480886081971</c:v>
                </c:pt>
                <c:pt idx="166">
                  <c:v>6.7289423541279803</c:v>
                </c:pt>
                <c:pt idx="167">
                  <c:v>6.941897097162439</c:v>
                </c:pt>
                <c:pt idx="168">
                  <c:v>7.1693075378737774</c:v>
                </c:pt>
                <c:pt idx="169">
                  <c:v>7.4115946763441798</c:v>
                </c:pt>
                <c:pt idx="170">
                  <c:v>7.6692050620403904</c:v>
                </c:pt>
                <c:pt idx="171">
                  <c:v>7.9426105185707172</c:v>
                </c:pt>
                <c:pt idx="172">
                  <c:v>8.2323078030434829</c:v>
                </c:pt>
                <c:pt idx="173">
                  <c:v>8.5388181778649539</c:v>
                </c:pt>
                <c:pt idx="174">
                  <c:v>8.8626868710775852</c:v>
                </c:pt>
                <c:pt idx="175">
                  <c:v>9.2044823993589944</c:v>
                </c:pt>
                <c:pt idx="176">
                  <c:v>9.5647957255946778</c:v>
                </c:pt>
                <c:pt idx="177">
                  <c:v>9.9442392205307044</c:v>
                </c:pt>
                <c:pt idx="178">
                  <c:v>10.343445395456058</c:v>
                </c:pt>
                <c:pt idx="179">
                  <c:v>10.76306537018985</c:v>
                </c:pt>
                <c:pt idx="180">
                  <c:v>11.203767037949092</c:v>
                </c:pt>
                <c:pt idx="181">
                  <c:v>11.666232886013631</c:v>
                </c:pt>
                <c:pt idx="182">
                  <c:v>12.151157428619825</c:v>
                </c:pt>
                <c:pt idx="183">
                  <c:v>12.659244206326832</c:v>
                </c:pt>
                <c:pt idx="184">
                  <c:v>13.191202304403561</c:v>
                </c:pt>
                <c:pt idx="185">
                  <c:v>13.747742341774796</c:v>
                </c:pt>
                <c:pt idx="186">
                  <c:v>14.329571882014363</c:v>
                </c:pt>
                <c:pt idx="187">
                  <c:v>14.937390219056653</c:v>
                </c:pt>
                <c:pt idx="188">
                  <c:v>15.571882493076799</c:v>
                </c:pt>
                <c:pt idx="189">
                  <c:v>16.233713096727939</c:v>
                </c:pt>
                <c:pt idx="190">
                  <c:v>16.923518339040271</c:v>
                </c:pt>
                <c:pt idx="191">
                  <c:v>17.641898344218902</c:v>
                </c:pt>
                <c:pt idx="192">
                  <c:v>18.389408175756415</c:v>
                </c:pt>
                <c:pt idx="193">
                  <c:v>19.166548193119468</c:v>
                </c:pt>
                <c:pt idx="194">
                  <c:v>19.973753669131753</c:v>
                </c:pt>
                <c:pt idx="195">
                  <c:v>20.811383721297403</c:v>
                </c:pt>
                <c:pt idx="196">
                  <c:v>21.679709639792151</c:v>
                </c:pt>
                <c:pt idx="197">
                  <c:v>22.578902728544023</c:v>
                </c:pt>
                <c:pt idx="198">
                  <c:v>23.509021813315627</c:v>
                </c:pt>
                <c:pt idx="199">
                  <c:v>24.470000611179103</c:v>
                </c:pt>
                <c:pt idx="200">
                  <c:v>25.461635198047986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671808"/>
        <c:axId val="431579136"/>
      </c:scatterChart>
      <c:valAx>
        <c:axId val="375671808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79136"/>
        <c:crosses val="autoZero"/>
        <c:crossBetween val="midCat"/>
      </c:valAx>
      <c:valAx>
        <c:axId val="43157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Phase (°)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718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12064668387044"/>
          <c:y val="3.9325913587724616E-2"/>
          <c:w val="0.24407878426961335"/>
          <c:h val="0.1516853422168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08719137916309E-2"/>
          <c:y val="7.2829330875051626E-2"/>
          <c:w val="0.86468786208207971"/>
          <c:h val="0.85714520183714615"/>
        </c:manualLayout>
      </c:layout>
      <c:scatterChart>
        <c:scatterStyle val="smoothMarker"/>
        <c:varyColors val="0"/>
        <c:ser>
          <c:idx val="3"/>
          <c:order val="0"/>
          <c:tx>
            <c:v> T(s) Phase w/o Comp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Compensation!$AH$64:$AH$264</c:f>
              <c:numCache>
                <c:formatCode>General</c:formatCode>
                <c:ptCount val="201"/>
                <c:pt idx="0">
                  <c:v>179.53438034496935</c:v>
                </c:pt>
                <c:pt idx="1">
                  <c:v>179.51243598459118</c:v>
                </c:pt>
                <c:pt idx="2">
                  <c:v>179.48945736176441</c:v>
                </c:pt>
                <c:pt idx="3">
                  <c:v>179.46539572481569</c:v>
                </c:pt>
                <c:pt idx="4">
                  <c:v>179.44020002323393</c:v>
                </c:pt>
                <c:pt idx="5">
                  <c:v>179.41381679914537</c:v>
                </c:pt>
                <c:pt idx="6">
                  <c:v>179.38619007364665</c:v>
                </c:pt>
                <c:pt idx="7">
                  <c:v>179.35726122775009</c:v>
                </c:pt>
                <c:pt idx="8">
                  <c:v>179.32696887768174</c:v>
                </c:pt>
                <c:pt idx="9">
                  <c:v>179.2952487442613</c:v>
                </c:pt>
                <c:pt idx="10">
                  <c:v>179.26203351607893</c:v>
                </c:pt>
                <c:pt idx="11">
                  <c:v>179.22725270616917</c:v>
                </c:pt>
                <c:pt idx="12">
                  <c:v>179.19083250186799</c:v>
                </c:pt>
                <c:pt idx="13">
                  <c:v>179.15269560752205</c:v>
                </c:pt>
                <c:pt idx="14">
                  <c:v>179.11276107970275</c:v>
                </c:pt>
                <c:pt idx="15">
                  <c:v>179.07094415456015</c:v>
                </c:pt>
                <c:pt idx="16">
                  <c:v>179.02715606693167</c:v>
                </c:pt>
                <c:pt idx="17">
                  <c:v>178.98130386080129</c:v>
                </c:pt>
                <c:pt idx="18">
                  <c:v>178.93329019068344</c:v>
                </c:pt>
                <c:pt idx="19">
                  <c:v>178.88301311348232</c:v>
                </c:pt>
                <c:pt idx="20">
                  <c:v>178.83036587035394</c:v>
                </c:pt>
                <c:pt idx="21">
                  <c:v>178.77523665807158</c:v>
                </c:pt>
                <c:pt idx="22">
                  <c:v>178.71750838936842</c:v>
                </c:pt>
                <c:pt idx="23">
                  <c:v>178.65705844170103</c:v>
                </c:pt>
                <c:pt idx="24">
                  <c:v>178.59375839384597</c:v>
                </c:pt>
                <c:pt idx="25">
                  <c:v>178.52747374970832</c:v>
                </c:pt>
                <c:pt idx="26">
                  <c:v>178.45806364868341</c:v>
                </c:pt>
                <c:pt idx="27">
                  <c:v>178.38538056187548</c:v>
                </c:pt>
                <c:pt idx="28">
                  <c:v>178.3092699734334</c:v>
                </c:pt>
                <c:pt idx="29">
                  <c:v>178.22957004621878</c:v>
                </c:pt>
                <c:pt idx="30">
                  <c:v>178.14611127097254</c:v>
                </c:pt>
                <c:pt idx="31">
                  <c:v>178.05871609809225</c:v>
                </c:pt>
                <c:pt idx="32">
                  <c:v>177.96719855107526</c:v>
                </c:pt>
                <c:pt idx="33">
                  <c:v>177.87136382061908</c:v>
                </c:pt>
                <c:pt idx="34">
                  <c:v>177.77100783830224</c:v>
                </c:pt>
                <c:pt idx="35">
                  <c:v>177.66591682869398</c:v>
                </c:pt>
                <c:pt idx="36">
                  <c:v>177.55586683865874</c:v>
                </c:pt>
                <c:pt idx="37">
                  <c:v>177.44062324253261</c:v>
                </c:pt>
                <c:pt idx="38">
                  <c:v>177.31994022174919</c:v>
                </c:pt>
                <c:pt idx="39">
                  <c:v>177.19356021738514</c:v>
                </c:pt>
                <c:pt idx="40">
                  <c:v>177.0612133539756</c:v>
                </c:pt>
                <c:pt idx="41">
                  <c:v>176.92261683281828</c:v>
                </c:pt>
                <c:pt idx="42">
                  <c:v>176.77747429283977</c:v>
                </c:pt>
                <c:pt idx="43">
                  <c:v>176.62547513693616</c:v>
                </c:pt>
                <c:pt idx="44">
                  <c:v>176.46629382152207</c:v>
                </c:pt>
                <c:pt idx="45">
                  <c:v>176.29958910682433</c:v>
                </c:pt>
                <c:pt idx="46">
                  <c:v>176.12500326523605</c:v>
                </c:pt>
                <c:pt idx="47">
                  <c:v>175.94216124480337</c:v>
                </c:pt>
                <c:pt idx="48">
                  <c:v>175.7506697846448</c:v>
                </c:pt>
                <c:pt idx="49">
                  <c:v>175.55011647879991</c:v>
                </c:pt>
                <c:pt idx="50">
                  <c:v>175.34006878466795</c:v>
                </c:pt>
                <c:pt idx="51">
                  <c:v>175.12007297182046</c:v>
                </c:pt>
                <c:pt idx="52">
                  <c:v>174.88965300655369</c:v>
                </c:pt>
                <c:pt idx="53">
                  <c:v>174.64830936708091</c:v>
                </c:pt>
                <c:pt idx="54">
                  <c:v>174.39551778374545</c:v>
                </c:pt>
                <c:pt idx="55">
                  <c:v>174.13072789805804</c:v>
                </c:pt>
                <c:pt idx="56">
                  <c:v>173.85336183372092</c:v>
                </c:pt>
                <c:pt idx="57">
                  <c:v>173.56281267209064</c:v>
                </c:pt>
                <c:pt idx="58">
                  <c:v>173.25844282374169</c:v>
                </c:pt>
                <c:pt idx="59">
                  <c:v>172.93958228692637</c:v>
                </c:pt>
                <c:pt idx="60">
                  <c:v>172.60552678276588</c:v>
                </c:pt>
                <c:pt idx="61">
                  <c:v>172.25553575596041</c:v>
                </c:pt>
                <c:pt idx="62">
                  <c:v>171.88883022865761</c:v>
                </c:pt>
                <c:pt idx="63">
                  <c:v>171.50459049387831</c:v>
                </c:pt>
                <c:pt idx="64">
                  <c:v>171.1019536335578</c:v>
                </c:pt>
                <c:pt idx="65">
                  <c:v>170.68001084483703</c:v>
                </c:pt>
                <c:pt idx="66">
                  <c:v>170.23780455673051</c:v>
                </c:pt>
                <c:pt idx="67">
                  <c:v>169.77432531774218</c:v>
                </c:pt>
                <c:pt idx="68">
                  <c:v>169.28850843341678</c:v>
                </c:pt>
                <c:pt idx="69">
                  <c:v>168.77923033126098</c:v>
                </c:pt>
                <c:pt idx="70">
                  <c:v>168.24530462900151</c:v>
                </c:pt>
                <c:pt idx="71">
                  <c:v>167.68547788088503</c:v>
                </c:pt>
                <c:pt idx="72">
                  <c:v>167.09842497576813</c:v>
                </c:pt>
                <c:pt idx="73">
                  <c:v>166.48274416030836</c:v>
                </c:pt>
                <c:pt idx="74">
                  <c:v>165.83695166085536</c:v>
                </c:pt>
                <c:pt idx="75">
                  <c:v>165.15947587900666</c:v>
                </c:pt>
                <c:pt idx="76">
                  <c:v>164.4486511386138</c:v>
                </c:pt>
                <c:pt idx="77">
                  <c:v>163.7027109669005</c:v>
                </c:pt>
                <c:pt idx="78">
                  <c:v>162.91978089993273</c:v>
                </c:pt>
                <c:pt idx="79">
                  <c:v>162.09787081393989</c:v>
                </c:pt>
                <c:pt idx="80">
                  <c:v>161.23486680004083</c:v>
                </c:pt>
                <c:pt idx="81">
                  <c:v>160.32852262230881</c:v>
                </c:pt>
                <c:pt idx="82">
                  <c:v>159.37645082966276</c:v>
                </c:pt>
                <c:pt idx="83">
                  <c:v>158.3761136331519</c:v>
                </c:pt>
                <c:pt idx="84">
                  <c:v>157.32481371468324</c:v>
                </c:pt>
                <c:pt idx="85">
                  <c:v>156.21968520465123</c:v>
                </c:pt>
                <c:pt idx="86">
                  <c:v>155.0576851584602</c:v>
                </c:pt>
                <c:pt idx="87">
                  <c:v>153.8355859804841</c:v>
                </c:pt>
                <c:pt idx="88">
                  <c:v>152.5499693941658</c:v>
                </c:pt>
                <c:pt idx="89">
                  <c:v>151.19722274469677</c:v>
                </c:pt>
                <c:pt idx="90">
                  <c:v>149.77353865208147</c:v>
                </c:pt>
                <c:pt idx="91">
                  <c:v>148.27491931265172</c:v>
                </c:pt>
                <c:pt idx="92">
                  <c:v>146.69718707946484</c:v>
                </c:pt>
                <c:pt idx="93">
                  <c:v>145.03600333561548</c:v>
                </c:pt>
                <c:pt idx="94">
                  <c:v>143.28689810131272</c:v>
                </c:pt>
                <c:pt idx="95">
                  <c:v>141.44531326616448</c:v>
                </c:pt>
                <c:pt idx="96">
                  <c:v>139.50666277590875</c:v>
                </c:pt>
                <c:pt idx="97">
                  <c:v>137.46641346698124</c:v>
                </c:pt>
                <c:pt idx="98">
                  <c:v>135.32019043987836</c:v>
                </c:pt>
                <c:pt idx="99">
                  <c:v>133.06391076096287</c:v>
                </c:pt>
                <c:pt idx="100">
                  <c:v>130.69394870692392</c:v>
                </c:pt>
                <c:pt idx="101">
                  <c:v>128.20733450305613</c:v>
                </c:pt>
                <c:pt idx="102">
                  <c:v>125.60198632429896</c:v>
                </c:pt>
                <c:pt idx="103">
                  <c:v>122.87697202020452</c:v>
                </c:pt>
                <c:pt idx="104">
                  <c:v>120.03279248494059</c:v>
                </c:pt>
                <c:pt idx="105">
                  <c:v>117.0716729190998</c:v>
                </c:pt>
                <c:pt idx="106">
                  <c:v>113.99784184828442</c:v>
                </c:pt>
                <c:pt idx="107">
                  <c:v>110.81777153616322</c:v>
                </c:pt>
                <c:pt idx="108">
                  <c:v>107.54034868260717</c:v>
                </c:pt>
                <c:pt idx="109">
                  <c:v>104.17694269376589</c:v>
                </c:pt>
                <c:pt idx="110">
                  <c:v>100.74134201060529</c:v>
                </c:pt>
                <c:pt idx="111">
                  <c:v>97.249538097559437</c:v>
                </c:pt>
                <c:pt idx="112">
                  <c:v>93.719351665552011</c:v>
                </c:pt>
                <c:pt idx="113">
                  <c:v>90.16991485922162</c:v>
                </c:pt>
                <c:pt idx="114">
                  <c:v>86.62104320697442</c:v>
                </c:pt>
                <c:pt idx="115">
                  <c:v>83.092547911434636</c:v>
                </c:pt>
                <c:pt idx="116">
                  <c:v>79.603548602547804</c:v>
                </c:pt>
                <c:pt idx="117">
                  <c:v>76.17184660072131</c:v>
                </c:pt>
                <c:pt idx="118">
                  <c:v>72.813409061872221</c:v>
                </c:pt>
                <c:pt idx="119">
                  <c:v>69.541997516983642</c:v>
                </c:pt>
                <c:pt idx="120">
                  <c:v>66.368954233691852</c:v>
                </c:pt>
                <c:pt idx="121">
                  <c:v>63.303140713774113</c:v>
                </c:pt>
                <c:pt idx="122">
                  <c:v>60.351007747134005</c:v>
                </c:pt>
                <c:pt idx="123">
                  <c:v>57.516767419275652</c:v>
                </c:pt>
                <c:pt idx="124">
                  <c:v>54.802634351527615</c:v>
                </c:pt>
                <c:pt idx="125">
                  <c:v>52.209105116775376</c:v>
                </c:pt>
                <c:pt idx="126">
                  <c:v>49.73524955429491</c:v>
                </c:pt>
                <c:pt idx="127">
                  <c:v>47.378993945530652</c:v>
                </c:pt>
                <c:pt idx="128">
                  <c:v>45.137382389057564</c:v>
                </c:pt>
                <c:pt idx="129">
                  <c:v>43.00680837255976</c:v>
                </c:pt>
                <c:pt idx="130">
                  <c:v>40.983213061389989</c:v>
                </c:pt>
                <c:pt idx="131">
                  <c:v>39.062250113095018</c:v>
                </c:pt>
                <c:pt idx="132">
                  <c:v>37.239418994178266</c:v>
                </c:pt>
                <c:pt idx="133">
                  <c:v>35.510170026416148</c:v>
                </c:pt>
                <c:pt idx="134">
                  <c:v>33.869984956955363</c:v>
                </c:pt>
                <c:pt idx="135">
                  <c:v>32.314436942058563</c:v>
                </c:pt>
                <c:pt idx="136">
                  <c:v>30.839233633449112</c:v>
                </c:pt>
                <c:pt idx="137">
                  <c:v>29.440246690350136</c:v>
                </c:pt>
                <c:pt idx="138">
                  <c:v>28.113530601942671</c:v>
                </c:pt>
                <c:pt idx="139">
                  <c:v>26.855333254492024</c:v>
                </c:pt>
                <c:pt idx="140">
                  <c:v>25.662100251101776</c:v>
                </c:pt>
                <c:pt idx="141">
                  <c:v>24.530474609153714</c:v>
                </c:pt>
                <c:pt idx="142">
                  <c:v>23.457293128889518</c:v>
                </c:pt>
                <c:pt idx="143">
                  <c:v>22.439580447060223</c:v>
                </c:pt>
                <c:pt idx="144">
                  <c:v>21.474541558860864</c:v>
                </c:pt>
                <c:pt idx="145">
                  <c:v>20.559553404191888</c:v>
                </c:pt>
                <c:pt idx="146">
                  <c:v>19.692155964599635</c:v>
                </c:pt>
                <c:pt idx="147">
                  <c:v>18.870043199059495</c:v>
                </c:pt>
                <c:pt idx="148">
                  <c:v>18.091054054514672</c:v>
                </c:pt>
                <c:pt idx="149">
                  <c:v>17.353163715879219</c:v>
                </c:pt>
                <c:pt idx="150">
                  <c:v>16.654475205855022</c:v>
                </c:pt>
                <c:pt idx="151">
                  <c:v>15.993211403909697</c:v>
                </c:pt>
                <c:pt idx="152">
                  <c:v>15.367707523209873</c:v>
                </c:pt>
                <c:pt idx="153">
                  <c:v>14.776404061899314</c:v>
                </c:pt>
                <c:pt idx="154">
                  <c:v>14.217840228956476</c:v>
                </c:pt>
                <c:pt idx="155">
                  <c:v>13.690647833492051</c:v>
                </c:pt>
                <c:pt idx="156">
                  <c:v>13.193545618578696</c:v>
                </c:pt>
                <c:pt idx="157">
                  <c:v>12.725334015627141</c:v>
                </c:pt>
                <c:pt idx="158">
                  <c:v>12.284890292225242</c:v>
                </c:pt>
                <c:pt idx="159">
                  <c:v>11.871164064690333</c:v>
                </c:pt>
                <c:pt idx="160">
                  <c:v>11.483173145927424</c:v>
                </c:pt>
                <c:pt idx="161">
                  <c:v>11.119999699214475</c:v>
                </c:pt>
                <c:pt idx="162">
                  <c:v>10.780786669008364</c:v>
                </c:pt>
                <c:pt idx="163">
                  <c:v>10.464734460596873</c:v>
                </c:pt>
                <c:pt idx="164">
                  <c:v>10.17109784127021</c:v>
                </c:pt>
                <c:pt idx="165">
                  <c:v>9.8991830365577869</c:v>
                </c:pt>
                <c:pt idx="166">
                  <c:v>9.6483449958844005</c:v>
                </c:pt>
                <c:pt idx="167">
                  <c:v>9.4179848027058028</c:v>
                </c:pt>
                <c:pt idx="168">
                  <c:v>9.2075472047255289</c:v>
                </c:pt>
                <c:pt idx="169">
                  <c:v>9.0165182401758557</c:v>
                </c:pt>
                <c:pt idx="170">
                  <c:v>8.8444229363196314</c:v>
                </c:pt>
                <c:pt idx="171">
                  <c:v>8.6908230563089433</c:v>
                </c:pt>
                <c:pt idx="172">
                  <c:v>8.555314870306745</c:v>
                </c:pt>
                <c:pt idx="173">
                  <c:v>8.4375269263520352</c:v>
                </c:pt>
                <c:pt idx="174">
                  <c:v>8.3371177958262592</c:v>
                </c:pt>
                <c:pt idx="175">
                  <c:v>8.2537737675945948</c:v>
                </c:pt>
                <c:pt idx="176">
                  <c:v>8.1872064639584323</c:v>
                </c:pt>
                <c:pt idx="177">
                  <c:v>8.1371503505113765</c:v>
                </c:pt>
                <c:pt idx="178">
                  <c:v>8.103360110892794</c:v>
                </c:pt>
                <c:pt idx="179">
                  <c:v>8.0856078563232074</c:v>
                </c:pt>
                <c:pt idx="180">
                  <c:v>8.0836801387957848</c:v>
                </c:pt>
                <c:pt idx="181">
                  <c:v>8.0973747359523145</c:v>
                </c:pt>
                <c:pt idx="182">
                  <c:v>8.1264971751473638</c:v>
                </c:pt>
                <c:pt idx="183">
                  <c:v>8.1708569641249653</c:v>
                </c:pt>
                <c:pt idx="184">
                  <c:v>8.2302634963039623</c:v>
                </c:pt>
                <c:pt idx="185">
                  <c:v>8.304521600084712</c:v>
                </c:pt>
                <c:pt idx="186">
                  <c:v>8.3934267041255168</c:v>
                </c:pt>
                <c:pt idx="187">
                  <c:v>8.4967595944571315</c:v>
                </c:pt>
                <c:pt idx="188">
                  <c:v>8.6142807449498378</c:v>
                </c:pt>
                <c:pt idx="189">
                  <c:v>8.745724210359981</c:v>
                </c:pt>
                <c:pt idx="190">
                  <c:v>8.890791081328473</c:v>
                </c:pt>
                <c:pt idx="191">
                  <c:v>9.0491425136726207</c:v>
                </c:pt>
                <c:pt idx="192">
                  <c:v>9.2203923604448903</c:v>
                </c:pt>
                <c:pt idx="193">
                  <c:v>9.4040994548382741</c:v>
                </c:pt>
                <c:pt idx="194">
                  <c:v>9.5997596153318057</c:v>
                </c:pt>
                <c:pt idx="195">
                  <c:v>9.8067974715397952</c:v>
                </c:pt>
                <c:pt idx="196">
                  <c:v>10.024558239974596</c:v>
                </c:pt>
                <c:pt idx="197">
                  <c:v>10.252299612936952</c:v>
                </c:pt>
                <c:pt idx="198">
                  <c:v>10.489183960320076</c:v>
                </c:pt>
                <c:pt idx="199">
                  <c:v>10.734271082105494</c:v>
                </c:pt>
                <c:pt idx="200">
                  <c:v>10.986511787167217</c:v>
                </c:pt>
              </c:numCache>
            </c:numRef>
          </c:yVal>
          <c:smooth val="1"/>
        </c:ser>
        <c:ser>
          <c:idx val="0"/>
          <c:order val="1"/>
          <c:tx>
            <c:v>Phase of Compensation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Compensation!$AY$64:$AY$264</c:f>
              <c:numCache>
                <c:formatCode>General</c:formatCode>
                <c:ptCount val="201"/>
                <c:pt idx="0">
                  <c:v>98.761599528472999</c:v>
                </c:pt>
                <c:pt idx="1">
                  <c:v>98.48381845483361</c:v>
                </c:pt>
                <c:pt idx="2">
                  <c:v>98.223393932229314</c:v>
                </c:pt>
                <c:pt idx="3">
                  <c:v>97.979853869022108</c:v>
                </c:pt>
                <c:pt idx="4">
                  <c:v>97.752751797060057</c:v>
                </c:pt>
                <c:pt idx="5">
                  <c:v>97.541667166961361</c:v>
                </c:pt>
                <c:pt idx="6">
                  <c:v>97.346205547008566</c:v>
                </c:pt>
                <c:pt idx="7">
                  <c:v>97.165998743009126</c:v>
                </c:pt>
                <c:pt idx="8">
                  <c:v>97.000704854516471</c:v>
                </c:pt>
                <c:pt idx="9">
                  <c:v>96.850008281008328</c:v>
                </c:pt>
                <c:pt idx="10">
                  <c:v>96.713619689994644</c:v>
                </c:pt>
                <c:pt idx="11">
                  <c:v>96.591275957556164</c:v>
                </c:pt>
                <c:pt idx="12">
                  <c:v>96.482740090488875</c:v>
                </c:pt>
                <c:pt idx="13">
                  <c:v>96.387801138035087</c:v>
                </c:pt>
                <c:pt idx="14">
                  <c:v>96.3062741001158</c:v>
                </c:pt>
                <c:pt idx="15">
                  <c:v>96.237999838011888</c:v>
                </c:pt>
                <c:pt idx="16">
                  <c:v>96.182844992581863</c:v>
                </c:pt>
                <c:pt idx="17">
                  <c:v>96.140701914323245</c:v>
                </c:pt>
                <c:pt idx="18">
                  <c:v>96.11148860887981</c:v>
                </c:pt>
                <c:pt idx="19">
                  <c:v>96.095148700956543</c:v>
                </c:pt>
                <c:pt idx="20">
                  <c:v>96.091651419013928</c:v>
                </c:pt>
                <c:pt idx="21">
                  <c:v>96.100991602567788</c:v>
                </c:pt>
                <c:pt idx="22">
                  <c:v>96.12318973340507</c:v>
                </c:pt>
                <c:pt idx="23">
                  <c:v>96.158291991537396</c:v>
                </c:pt>
                <c:pt idx="24">
                  <c:v>96.20637033623143</c:v>
                </c:pt>
                <c:pt idx="25">
                  <c:v>96.267522611987417</c:v>
                </c:pt>
                <c:pt idx="26">
                  <c:v>96.341872678854429</c:v>
                </c:pt>
                <c:pt idx="27">
                  <c:v>96.429570565977613</c:v>
                </c:pt>
                <c:pt idx="28">
                  <c:v>96.530792646758968</c:v>
                </c:pt>
                <c:pt idx="29">
                  <c:v>96.645741833459581</c:v>
                </c:pt>
                <c:pt idx="30">
                  <c:v>96.774647788480038</c:v>
                </c:pt>
                <c:pt idx="31">
                  <c:v>96.917767148906293</c:v>
                </c:pt>
                <c:pt idx="32">
                  <c:v>97.075383760198974</c:v>
                </c:pt>
                <c:pt idx="33">
                  <c:v>97.247808914115282</c:v>
                </c:pt>
                <c:pt idx="34">
                  <c:v>97.435381585079924</c:v>
                </c:pt>
                <c:pt idx="35">
                  <c:v>97.638468658248726</c:v>
                </c:pt>
                <c:pt idx="36">
                  <c:v>97.857465141424655</c:v>
                </c:pt>
                <c:pt idx="37">
                  <c:v>98.092794351779744</c:v>
                </c:pt>
                <c:pt idx="38">
                  <c:v>98.344908066994023</c:v>
                </c:pt>
                <c:pt idx="39">
                  <c:v>98.614286628933996</c:v>
                </c:pt>
                <c:pt idx="40">
                  <c:v>98.901438986345468</c:v>
                </c:pt>
                <c:pt idx="41">
                  <c:v>99.206902661220965</c:v>
                </c:pt>
                <c:pt idx="42">
                  <c:v>99.531243621515145</c:v>
                </c:pt>
                <c:pt idx="43">
                  <c:v>99.875056040711598</c:v>
                </c:pt>
                <c:pt idx="44">
                  <c:v>100.23896192240331</c:v>
                </c:pt>
                <c:pt idx="45">
                  <c:v>100.62361056553172</c:v>
                </c:pt>
                <c:pt idx="46">
                  <c:v>101.02967784325922</c:v>
                </c:pt>
                <c:pt idx="47">
                  <c:v>101.45786526564765</c:v>
                </c:pt>
                <c:pt idx="48">
                  <c:v>101.90889879341951</c:v>
                </c:pt>
                <c:pt idx="49">
                  <c:v>102.38352736714286</c:v>
                </c:pt>
                <c:pt idx="50">
                  <c:v>102.88252111327942</c:v>
                </c:pt>
                <c:pt idx="51">
                  <c:v>103.4066691857626</c:v>
                </c:pt>
                <c:pt idx="52">
                  <c:v>103.95677719925007</c:v>
                </c:pt>
                <c:pt idx="53">
                  <c:v>104.53366420808904</c:v>
                </c:pt>
                <c:pt idx="54">
                  <c:v>105.13815918351645</c:v>
                </c:pt>
                <c:pt idx="55">
                  <c:v>105.77109694093812</c:v>
                </c:pt>
                <c:pt idx="56">
                  <c:v>106.43331346955151</c:v>
                </c:pt>
                <c:pt idx="57">
                  <c:v>107.1256406184191</c:v>
                </c:pt>
                <c:pt idx="58">
                  <c:v>107.8489000967209</c:v>
                </c:pt>
                <c:pt idx="59">
                  <c:v>108.60389675170238</c:v>
                </c:pt>
                <c:pt idx="60">
                  <c:v>109.39141109623108</c:v>
                </c:pt>
                <c:pt idx="61">
                  <c:v>110.21219106928692</c:v>
                </c:pt>
                <c:pt idx="62">
                  <c:v>111.06694302759773</c:v>
                </c:pt>
                <c:pt idx="63">
                  <c:v>111.95632198533549</c:v>
                </c:pt>
                <c:pt idx="64">
                  <c:v>112.88092114165359</c:v>
                </c:pt>
                <c:pt idx="65">
                  <c:v>113.84126076299287</c:v>
                </c:pt>
                <c:pt idx="66">
                  <c:v>114.83777651851716</c:v>
                </c:pt>
                <c:pt idx="67">
                  <c:v>115.87080740246513</c:v>
                </c:pt>
                <c:pt idx="68">
                  <c:v>116.94058341597655</c:v>
                </c:pt>
                <c:pt idx="69">
                  <c:v>118.04721322209986</c:v>
                </c:pt>
                <c:pt idx="70">
                  <c:v>119.19067202969234</c:v>
                </c:pt>
                <c:pt idx="71">
                  <c:v>120.37079000286987</c:v>
                </c:pt>
                <c:pt idx="72">
                  <c:v>121.58724153007486</c:v>
                </c:pt>
                <c:pt idx="73">
                  <c:v>122.83953571787193</c:v>
                </c:pt>
                <c:pt idx="74">
                  <c:v>124.12700849601856</c:v>
                </c:pt>
                <c:pt idx="75">
                  <c:v>125.44881672886618</c:v>
                </c:pt>
                <c:pt idx="76">
                  <c:v>126.80393472052519</c:v>
                </c:pt>
                <c:pt idx="77">
                  <c:v>128.1911534745754</c:v>
                </c:pt>
                <c:pt idx="78">
                  <c:v>129.60908302147942</c:v>
                </c:pt>
                <c:pt idx="79">
                  <c:v>131.05615805725012</c:v>
                </c:pt>
                <c:pt idx="80">
                  <c:v>132.5306470459459</c:v>
                </c:pt>
                <c:pt idx="81">
                  <c:v>134.03066482841601</c:v>
                </c:pt>
                <c:pt idx="82">
                  <c:v>135.55418865446481</c:v>
                </c:pt>
                <c:pt idx="83">
                  <c:v>137.09907742099278</c:v>
                </c:pt>
                <c:pt idx="84">
                  <c:v>138.66309376188843</c:v>
                </c:pt>
                <c:pt idx="85">
                  <c:v>140.24392850463454</c:v>
                </c:pt>
                <c:pt idx="86">
                  <c:v>141.83922689213094</c:v>
                </c:pt>
                <c:pt idx="87">
                  <c:v>143.44661587404113</c:v>
                </c:pt>
                <c:pt idx="88">
                  <c:v>145.06373170669707</c:v>
                </c:pt>
                <c:pt idx="89">
                  <c:v>146.68824706892178</c:v>
                </c:pt>
                <c:pt idx="90">
                  <c:v>148.31789690531895</c:v>
                </c:pt>
                <c:pt idx="91">
                  <c:v>149.9505022482046</c:v>
                </c:pt>
                <c:pt idx="92">
                  <c:v>151.58399134138904</c:v>
                </c:pt>
                <c:pt idx="93">
                  <c:v>153.2164174881288</c:v>
                </c:pt>
                <c:pt idx="94">
                  <c:v>154.84597316483018</c:v>
                </c:pt>
                <c:pt idx="95">
                  <c:v>156.47100007352461</c:v>
                </c:pt>
                <c:pt idx="96">
                  <c:v>158.08999494171391</c:v>
                </c:pt>
                <c:pt idx="97">
                  <c:v>159.70161101042169</c:v>
                </c:pt>
                <c:pt idx="98">
                  <c:v>161.30465527384678</c:v>
                </c:pt>
                <c:pt idx="99">
                  <c:v>162.89808164224218</c:v>
                </c:pt>
                <c:pt idx="100">
                  <c:v>164.48098029059722</c:v>
                </c:pt>
                <c:pt idx="101">
                  <c:v>166.05256352826217</c:v>
                </c:pt>
                <c:pt idx="102">
                  <c:v>167.61214857931259</c:v>
                </c:pt>
                <c:pt idx="103">
                  <c:v>169.15913770193092</c:v>
                </c:pt>
                <c:pt idx="104">
                  <c:v>170.69299610006078</c:v>
                </c:pt>
                <c:pt idx="105">
                  <c:v>172.21322809515738</c:v>
                </c:pt>
                <c:pt idx="106">
                  <c:v>173.71935203323997</c:v>
                </c:pt>
                <c:pt idx="107">
                  <c:v>175.21087440552364</c:v>
                </c:pt>
                <c:pt idx="108">
                  <c:v>176.68726366203353</c:v>
                </c:pt>
                <c:pt idx="109">
                  <c:v>178.14792419829683</c:v>
                </c:pt>
                <c:pt idx="110">
                  <c:v>179.59217099610538</c:v>
                </c:pt>
                <c:pt idx="111">
                  <c:v>-178.9807945999446</c:v>
                </c:pt>
                <c:pt idx="112">
                  <c:v>-177.57190748917347</c:v>
                </c:pt>
                <c:pt idx="113">
                  <c:v>-176.18225932821946</c:v>
                </c:pt>
                <c:pt idx="114">
                  <c:v>-174.81311648529132</c:v>
                </c:pt>
                <c:pt idx="115">
                  <c:v>-173.46593498972138</c:v>
                </c:pt>
                <c:pt idx="116">
                  <c:v>-172.14237206419972</c:v>
                </c:pt>
                <c:pt idx="117">
                  <c:v>-170.84429387544316</c:v>
                </c:pt>
                <c:pt idx="118">
                  <c:v>-169.57377920480306</c:v>
                </c:pt>
                <c:pt idx="119">
                  <c:v>-168.33311882425696</c:v>
                </c:pt>
                <c:pt idx="120">
                  <c:v>-167.12481046457214</c:v>
                </c:pt>
                <c:pt idx="121">
                  <c:v>-165.95154937867966</c:v>
                </c:pt>
                <c:pt idx="122">
                  <c:v>-164.81621463013653</c:v>
                </c:pt>
                <c:pt idx="123">
                  <c:v>-163.72185136800977</c:v>
                </c:pt>
                <c:pt idx="124">
                  <c:v>-162.67164947832009</c:v>
                </c:pt>
                <c:pt idx="125">
                  <c:v>-161.66891912035337</c:v>
                </c:pt>
                <c:pt idx="126">
                  <c:v>-160.7170637556581</c:v>
                </c:pt>
                <c:pt idx="127">
                  <c:v>-159.81955135118366</c:v>
                </c:pt>
                <c:pt idx="128">
                  <c:v>-158.97988448006112</c:v>
                </c:pt>
                <c:pt idx="129">
                  <c:v>-158.20157005048713</c:v>
                </c:pt>
                <c:pt idx="130">
                  <c:v>-157.48808936407511</c:v>
                </c:pt>
                <c:pt idx="131">
                  <c:v>-156.84286914170616</c:v>
                </c:pt>
                <c:pt idx="132">
                  <c:v>-156.26925406169337</c:v>
                </c:pt>
                <c:pt idx="133">
                  <c:v>-155.7704812384593</c:v>
                </c:pt>
                <c:pt idx="134">
                  <c:v>-155.34965693792358</c:v>
                </c:pt>
                <c:pt idx="135">
                  <c:v>-155.00973568712078</c:v>
                </c:pt>
                <c:pt idx="136">
                  <c:v>-154.75350179894428</c:v>
                </c:pt>
                <c:pt idx="137">
                  <c:v>-154.58355320631148</c:v>
                </c:pt>
                <c:pt idx="138">
                  <c:v>-154.50228739020841</c:v>
                </c:pt>
                <c:pt idx="139">
                  <c:v>-154.51188909814442</c:v>
                </c:pt>
                <c:pt idx="140">
                  <c:v>-154.61431948692365</c:v>
                </c:pt>
                <c:pt idx="141">
                  <c:v>-154.81130628804209</c:v>
                </c:pt>
                <c:pt idx="142">
                  <c:v>-155.10433458563438</c:v>
                </c:pt>
                <c:pt idx="143">
                  <c:v>-155.49463781467304</c:v>
                </c:pt>
                <c:pt idx="144">
                  <c:v>-155.98318862908241</c:v>
                </c:pt>
                <c:pt idx="145">
                  <c:v>-156.57068935286415</c:v>
                </c:pt>
                <c:pt idx="146">
                  <c:v>-157.25756180914661</c:v>
                </c:pt>
                <c:pt idx="147">
                  <c:v>-158.04393641886909</c:v>
                </c:pt>
                <c:pt idx="148">
                  <c:v>-158.92964056895588</c:v>
                </c:pt>
                <c:pt idx="149">
                  <c:v>-159.9141863655293</c:v>
                </c:pt>
                <c:pt idx="150">
                  <c:v>-160.99675800685995</c:v>
                </c:pt>
                <c:pt idx="151">
                  <c:v>-162.17619912899022</c:v>
                </c:pt>
                <c:pt idx="152">
                  <c:v>-163.45100058947708</c:v>
                </c:pt>
                <c:pt idx="153">
                  <c:v>-164.819289256302</c:v>
                </c:pt>
                <c:pt idx="154">
                  <c:v>-166.27881845415084</c:v>
                </c:pt>
                <c:pt idx="155">
                  <c:v>-167.82696078313739</c:v>
                </c:pt>
                <c:pt idx="156">
                  <c:v>-169.46070405999825</c:v>
                </c:pt>
                <c:pt idx="157">
                  <c:v>-171.176651133441</c:v>
                </c:pt>
                <c:pt idx="158">
                  <c:v>-172.97102428937708</c:v>
                </c:pt>
                <c:pt idx="159">
                  <c:v>-174.83967488525022</c:v>
                </c:pt>
                <c:pt idx="160">
                  <c:v>-176.77809873470804</c:v>
                </c:pt>
                <c:pt idx="161">
                  <c:v>-178.78145760605781</c:v>
                </c:pt>
                <c:pt idx="162">
                  <c:v>179.15539299527205</c:v>
                </c:pt>
                <c:pt idx="163">
                  <c:v>177.03786981122056</c:v>
                </c:pt>
                <c:pt idx="164">
                  <c:v>174.87162187244806</c:v>
                </c:pt>
                <c:pt idx="165">
                  <c:v>172.66248513065801</c:v>
                </c:pt>
                <c:pt idx="166">
                  <c:v>170.41643245137769</c:v>
                </c:pt>
                <c:pt idx="167">
                  <c:v>168.13951994880762</c:v>
                </c:pt>
                <c:pt idx="168">
                  <c:v>165.83783081939549</c:v>
                </c:pt>
                <c:pt idx="169">
                  <c:v>163.51741795709933</c:v>
                </c:pt>
                <c:pt idx="170">
                  <c:v>161.18424670211263</c:v>
                </c:pt>
                <c:pt idx="171">
                  <c:v>158.84413908153263</c:v>
                </c:pt>
                <c:pt idx="172">
                  <c:v>156.50272084460283</c:v>
                </c:pt>
                <c:pt idx="173">
                  <c:v>154.1653724810277</c:v>
                </c:pt>
                <c:pt idx="174">
                  <c:v>151.83718524638977</c:v>
                </c:pt>
                <c:pt idx="175">
                  <c:v>149.52292301534834</c:v>
                </c:pt>
                <c:pt idx="176">
                  <c:v>147.22699055437613</c:v>
                </c:pt>
                <c:pt idx="177">
                  <c:v>144.95340856562385</c:v>
                </c:pt>
                <c:pt idx="178">
                  <c:v>142.70579561599135</c:v>
                </c:pt>
                <c:pt idx="179">
                  <c:v>140.48735684313729</c:v>
                </c:pt>
                <c:pt idx="180">
                  <c:v>138.30087913313704</c:v>
                </c:pt>
                <c:pt idx="181">
                  <c:v>136.14873230025688</c:v>
                </c:pt>
                <c:pt idx="182">
                  <c:v>134.0328756722563</c:v>
                </c:pt>
                <c:pt idx="183">
                  <c:v>131.95486939624936</c:v>
                </c:pt>
                <c:pt idx="184">
                  <c:v>129.91588972944169</c:v>
                </c:pt>
                <c:pt idx="185">
                  <c:v>127.91674756286324</c:v>
                </c:pt>
                <c:pt idx="186">
                  <c:v>125.95790943997945</c:v>
                </c:pt>
                <c:pt idx="187">
                  <c:v>124.03952037028797</c:v>
                </c:pt>
                <c:pt idx="188">
                  <c:v>122.16142779487558</c:v>
                </c:pt>
                <c:pt idx="189">
                  <c:v>120.32320613073244</c:v>
                </c:pt>
                <c:pt idx="190">
                  <c:v>118.52418139809069</c:v>
                </c:pt>
                <c:pt idx="191">
                  <c:v>116.76345551570249</c:v>
                </c:pt>
                <c:pt idx="192">
                  <c:v>115.03992992893872</c:v>
                </c:pt>
                <c:pt idx="193">
                  <c:v>113.35232831206812</c:v>
                </c:pt>
                <c:pt idx="194">
                  <c:v>111.69921815693159</c:v>
                </c:pt>
                <c:pt idx="195">
                  <c:v>110.07903112412376</c:v>
                </c:pt>
                <c:pt idx="196">
                  <c:v>108.49008208903287</c:v>
                </c:pt>
                <c:pt idx="197">
                  <c:v>106.93058686342441</c:v>
                </c:pt>
                <c:pt idx="198">
                  <c:v>105.39867861387978</c:v>
                </c:pt>
                <c:pt idx="199">
                  <c:v>103.89242303174609</c:v>
                </c:pt>
                <c:pt idx="200">
                  <c:v>102.40983233592856</c:v>
                </c:pt>
              </c:numCache>
            </c:numRef>
          </c:yVal>
          <c:smooth val="1"/>
        </c:ser>
        <c:ser>
          <c:idx val="1"/>
          <c:order val="2"/>
          <c:tx>
            <c:v> T(s) with Comp.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Compensation!$BF$64:$BF$264</c:f>
              <c:numCache>
                <c:formatCode>General</c:formatCode>
                <c:ptCount val="201"/>
                <c:pt idx="0">
                  <c:v>98.29597987344232</c:v>
                </c:pt>
                <c:pt idx="1">
                  <c:v>97.996254439424774</c:v>
                </c:pt>
                <c:pt idx="2">
                  <c:v>97.712851293993737</c:v>
                </c:pt>
                <c:pt idx="3">
                  <c:v>97.445249593837787</c:v>
                </c:pt>
                <c:pt idx="4">
                  <c:v>97.192951820294027</c:v>
                </c:pt>
                <c:pt idx="5">
                  <c:v>96.955483966106712</c:v>
                </c:pt>
                <c:pt idx="6">
                  <c:v>96.732395620655211</c:v>
                </c:pt>
                <c:pt idx="7">
                  <c:v>96.523259970759256</c:v>
                </c:pt>
                <c:pt idx="8">
                  <c:v>96.327673732198207</c:v>
                </c:pt>
                <c:pt idx="9">
                  <c:v>96.145257025269643</c:v>
                </c:pt>
                <c:pt idx="10">
                  <c:v>95.975653206073559</c:v>
                </c:pt>
                <c:pt idx="11">
                  <c:v>95.818528663725317</c:v>
                </c:pt>
                <c:pt idx="12">
                  <c:v>95.673572592356876</c:v>
                </c:pt>
                <c:pt idx="13">
                  <c:v>95.540496745557107</c:v>
                </c:pt>
                <c:pt idx="14">
                  <c:v>95.41903517981855</c:v>
                </c:pt>
                <c:pt idx="15">
                  <c:v>95.308943992572054</c:v>
                </c:pt>
                <c:pt idx="16">
                  <c:v>95.210001059513544</c:v>
                </c:pt>
                <c:pt idx="17">
                  <c:v>95.122005775124549</c:v>
                </c:pt>
                <c:pt idx="18">
                  <c:v>95.044778799563261</c:v>
                </c:pt>
                <c:pt idx="19">
                  <c:v>94.978161814438877</c:v>
                </c:pt>
                <c:pt idx="20">
                  <c:v>94.922017289367886</c:v>
                </c:pt>
                <c:pt idx="21">
                  <c:v>94.876228260639365</c:v>
                </c:pt>
                <c:pt idx="22">
                  <c:v>94.840698122773489</c:v>
                </c:pt>
                <c:pt idx="23">
                  <c:v>94.815350433238407</c:v>
                </c:pt>
                <c:pt idx="24">
                  <c:v>94.800128730077432</c:v>
                </c:pt>
                <c:pt idx="25">
                  <c:v>94.794996361695752</c:v>
                </c:pt>
                <c:pt idx="26">
                  <c:v>94.799936327537836</c:v>
                </c:pt>
                <c:pt idx="27">
                  <c:v>94.814951127853092</c:v>
                </c:pt>
                <c:pt idx="28">
                  <c:v>94.84006262019237</c:v>
                </c:pt>
                <c:pt idx="29">
                  <c:v>94.875311879678378</c:v>
                </c:pt>
                <c:pt idx="30">
                  <c:v>94.920759059452578</c:v>
                </c:pt>
                <c:pt idx="31">
                  <c:v>94.976483246998555</c:v>
                </c:pt>
                <c:pt idx="32">
                  <c:v>95.042582311274245</c:v>
                </c:pt>
                <c:pt idx="33">
                  <c:v>95.119172734734363</c:v>
                </c:pt>
                <c:pt idx="34">
                  <c:v>95.206389423382149</c:v>
                </c:pt>
                <c:pt idx="35">
                  <c:v>95.304385486942707</c:v>
                </c:pt>
                <c:pt idx="36">
                  <c:v>95.413331980083385</c:v>
                </c:pt>
                <c:pt idx="37">
                  <c:v>95.53341759431234</c:v>
                </c:pt>
                <c:pt idx="38">
                  <c:v>95.664848288743229</c:v>
                </c:pt>
                <c:pt idx="39">
                  <c:v>95.807846846319137</c:v>
                </c:pt>
                <c:pt idx="40">
                  <c:v>95.962652340321043</c:v>
                </c:pt>
                <c:pt idx="41">
                  <c:v>96.129519494039229</c:v>
                </c:pt>
                <c:pt idx="42">
                  <c:v>96.308717914354929</c:v>
                </c:pt>
                <c:pt idx="43">
                  <c:v>96.500531177647758</c:v>
                </c:pt>
                <c:pt idx="44">
                  <c:v>96.705255743925392</c:v>
                </c:pt>
                <c:pt idx="45">
                  <c:v>96.923199672356063</c:v>
                </c:pt>
                <c:pt idx="46">
                  <c:v>97.154681108495254</c:v>
                </c:pt>
                <c:pt idx="47">
                  <c:v>97.400026510451099</c:v>
                </c:pt>
                <c:pt idx="48">
                  <c:v>97.659568578064267</c:v>
                </c:pt>
                <c:pt idx="49">
                  <c:v>97.93364384594274</c:v>
                </c:pt>
                <c:pt idx="50">
                  <c:v>98.222589897947387</c:v>
                </c:pt>
                <c:pt idx="51">
                  <c:v>98.526742157583058</c:v>
                </c:pt>
                <c:pt idx="52">
                  <c:v>98.846430205803784</c:v>
                </c:pt>
                <c:pt idx="53">
                  <c:v>99.18197357516992</c:v>
                </c:pt>
                <c:pt idx="54">
                  <c:v>99.53367696726194</c:v>
                </c:pt>
                <c:pt idx="55">
                  <c:v>99.90182483899612</c:v>
                </c:pt>
                <c:pt idx="56">
                  <c:v>100.28667530327246</c:v>
                </c:pt>
                <c:pt idx="57">
                  <c:v>100.68845329050973</c:v>
                </c:pt>
                <c:pt idx="58">
                  <c:v>101.1073429204625</c:v>
                </c:pt>
                <c:pt idx="59">
                  <c:v>101.54347903862869</c:v>
                </c:pt>
                <c:pt idx="60">
                  <c:v>101.99693787899696</c:v>
                </c:pt>
                <c:pt idx="61">
                  <c:v>102.46772682524727</c:v>
                </c:pt>
                <c:pt idx="62">
                  <c:v>102.9557732562553</c:v>
                </c:pt>
                <c:pt idx="63">
                  <c:v>103.46091247921379</c:v>
                </c:pt>
                <c:pt idx="64">
                  <c:v>103.98287477521143</c:v>
                </c:pt>
                <c:pt idx="65">
                  <c:v>104.52127160782987</c:v>
                </c:pt>
                <c:pt idx="66">
                  <c:v>105.07558107524765</c:v>
                </c:pt>
                <c:pt idx="67">
                  <c:v>105.64513272020729</c:v>
                </c:pt>
                <c:pt idx="68">
                  <c:v>106.22909184939334</c:v>
                </c:pt>
                <c:pt idx="69">
                  <c:v>106.82644355336078</c:v>
                </c:pt>
                <c:pt idx="70">
                  <c:v>107.43597665869387</c:v>
                </c:pt>
                <c:pt idx="71">
                  <c:v>108.05626788375491</c:v>
                </c:pt>
                <c:pt idx="72">
                  <c:v>108.68566650584292</c:v>
                </c:pt>
                <c:pt idx="73">
                  <c:v>109.32227987818032</c:v>
                </c:pt>
                <c:pt idx="74">
                  <c:v>109.96396015687394</c:v>
                </c:pt>
                <c:pt idx="75">
                  <c:v>110.60829260787288</c:v>
                </c:pt>
                <c:pt idx="76">
                  <c:v>111.25258585913897</c:v>
                </c:pt>
                <c:pt idx="77">
                  <c:v>111.89386444147593</c:v>
                </c:pt>
                <c:pt idx="78">
                  <c:v>112.52886392141205</c:v>
                </c:pt>
                <c:pt idx="79">
                  <c:v>113.15402887119001</c:v>
                </c:pt>
                <c:pt idx="80">
                  <c:v>113.76551384598679</c:v>
                </c:pt>
                <c:pt idx="81">
                  <c:v>114.35918745072478</c:v>
                </c:pt>
                <c:pt idx="82">
                  <c:v>114.93063948412757</c:v>
                </c:pt>
                <c:pt idx="83">
                  <c:v>115.47519105414455</c:v>
                </c:pt>
                <c:pt idx="84">
                  <c:v>115.98790747657169</c:v>
                </c:pt>
                <c:pt idx="85">
                  <c:v>116.46361370928588</c:v>
                </c:pt>
                <c:pt idx="86">
                  <c:v>116.89691205059111</c:v>
                </c:pt>
                <c:pt idx="87">
                  <c:v>117.28220185452527</c:v>
                </c:pt>
                <c:pt idx="88">
                  <c:v>117.61370110086298</c:v>
                </c:pt>
                <c:pt idx="89">
                  <c:v>117.88546981361861</c:v>
                </c:pt>
                <c:pt idx="90">
                  <c:v>118.09143555740036</c:v>
                </c:pt>
                <c:pt idx="91">
                  <c:v>118.22542156085629</c:v>
                </c:pt>
                <c:pt idx="92">
                  <c:v>118.28117842085376</c:v>
                </c:pt>
                <c:pt idx="93">
                  <c:v>118.25242082374427</c:v>
                </c:pt>
                <c:pt idx="94">
                  <c:v>118.13287126614303</c:v>
                </c:pt>
                <c:pt idx="95">
                  <c:v>117.91631333968905</c:v>
                </c:pt>
                <c:pt idx="96">
                  <c:v>117.59665771762269</c:v>
                </c:pt>
                <c:pt idx="97">
                  <c:v>117.16802447740298</c:v>
                </c:pt>
                <c:pt idx="98">
                  <c:v>116.62484571372502</c:v>
                </c:pt>
                <c:pt idx="99">
                  <c:v>115.96199240320496</c:v>
                </c:pt>
                <c:pt idx="100">
                  <c:v>115.17492899752123</c:v>
                </c:pt>
                <c:pt idx="101">
                  <c:v>114.25989803131837</c:v>
                </c:pt>
                <c:pt idx="102">
                  <c:v>113.21413490361151</c:v>
                </c:pt>
                <c:pt idx="103">
                  <c:v>112.03610972213531</c:v>
                </c:pt>
                <c:pt idx="104">
                  <c:v>110.72578858500133</c:v>
                </c:pt>
                <c:pt idx="105">
                  <c:v>109.28490101425719</c:v>
                </c:pt>
                <c:pt idx="106">
                  <c:v>107.71719388152444</c:v>
                </c:pt>
                <c:pt idx="107">
                  <c:v>106.02864594168679</c:v>
                </c:pt>
                <c:pt idx="108">
                  <c:v>104.2276123446407</c:v>
                </c:pt>
                <c:pt idx="109">
                  <c:v>102.32486689206274</c:v>
                </c:pt>
                <c:pt idx="110">
                  <c:v>100.33351300671073</c:v>
                </c:pt>
                <c:pt idx="111">
                  <c:v>98.268743497614778</c:v>
                </c:pt>
                <c:pt idx="112">
                  <c:v>96.147444176378514</c:v>
                </c:pt>
                <c:pt idx="113">
                  <c:v>93.987655531002119</c:v>
                </c:pt>
                <c:pt idx="114">
                  <c:v>91.807926721683117</c:v>
                </c:pt>
                <c:pt idx="115">
                  <c:v>89.626612921713317</c:v>
                </c:pt>
                <c:pt idx="116">
                  <c:v>87.46117653834807</c:v>
                </c:pt>
                <c:pt idx="117">
                  <c:v>85.327552725278181</c:v>
                </c:pt>
                <c:pt idx="118">
                  <c:v>83.239629857069176</c:v>
                </c:pt>
                <c:pt idx="119">
                  <c:v>81.2088786927266</c:v>
                </c:pt>
                <c:pt idx="120">
                  <c:v>79.244143769119589</c:v>
                </c:pt>
                <c:pt idx="121">
                  <c:v>77.35159133509444</c:v>
                </c:pt>
                <c:pt idx="122">
                  <c:v>75.534793116997577</c:v>
                </c:pt>
                <c:pt idx="123">
                  <c:v>73.794916051266057</c:v>
                </c:pt>
                <c:pt idx="124">
                  <c:v>72.130984873207595</c:v>
                </c:pt>
                <c:pt idx="125">
                  <c:v>70.540185996421954</c:v>
                </c:pt>
                <c:pt idx="126">
                  <c:v>69.018185798636722</c:v>
                </c:pt>
                <c:pt idx="127">
                  <c:v>67.559442594346919</c:v>
                </c:pt>
                <c:pt idx="128">
                  <c:v>66.157497908996461</c:v>
                </c:pt>
                <c:pt idx="129">
                  <c:v>64.805238322072626</c:v>
                </c:pt>
                <c:pt idx="130">
                  <c:v>63.49512369731481</c:v>
                </c:pt>
                <c:pt idx="131">
                  <c:v>62.219380971388915</c:v>
                </c:pt>
                <c:pt idx="132">
                  <c:v>60.970164932484849</c:v>
                </c:pt>
                <c:pt idx="133">
                  <c:v>59.739688787956908</c:v>
                </c:pt>
                <c:pt idx="134">
                  <c:v>58.520328019031808</c:v>
                </c:pt>
                <c:pt idx="135">
                  <c:v>57.304701254937783</c:v>
                </c:pt>
                <c:pt idx="136">
                  <c:v>56.08573183450487</c:v>
                </c:pt>
                <c:pt idx="137">
                  <c:v>54.856693484038701</c:v>
                </c:pt>
                <c:pt idx="138">
                  <c:v>53.611243211734163</c:v>
                </c:pt>
                <c:pt idx="139">
                  <c:v>52.343444156347573</c:v>
                </c:pt>
                <c:pt idx="140">
                  <c:v>51.0477807641781</c:v>
                </c:pt>
                <c:pt idx="141">
                  <c:v>49.719168321111596</c:v>
                </c:pt>
                <c:pt idx="142">
                  <c:v>48.352958543255284</c:v>
                </c:pt>
                <c:pt idx="143">
                  <c:v>46.944942632387182</c:v>
                </c:pt>
                <c:pt idx="144">
                  <c:v>45.491352929778316</c:v>
                </c:pt>
                <c:pt idx="145">
                  <c:v>43.98886405132771</c:v>
                </c:pt>
                <c:pt idx="146">
                  <c:v>42.434594155453055</c:v>
                </c:pt>
                <c:pt idx="147">
                  <c:v>40.826106780190571</c:v>
                </c:pt>
                <c:pt idx="148">
                  <c:v>39.161413485558938</c:v>
                </c:pt>
                <c:pt idx="149">
                  <c:v>37.438977350349802</c:v>
                </c:pt>
                <c:pt idx="150">
                  <c:v>35.657717198994959</c:v>
                </c:pt>
                <c:pt idx="151">
                  <c:v>33.817012274919563</c:v>
                </c:pt>
                <c:pt idx="152">
                  <c:v>31.916706933732883</c:v>
                </c:pt>
                <c:pt idx="153">
                  <c:v>29.957114805597399</c:v>
                </c:pt>
                <c:pt idx="154">
                  <c:v>27.939021774805667</c:v>
                </c:pt>
                <c:pt idx="155">
                  <c:v>25.863687050354542</c:v>
                </c:pt>
                <c:pt idx="156">
                  <c:v>23.732841558580361</c:v>
                </c:pt>
                <c:pt idx="157">
                  <c:v>21.548682882186142</c:v>
                </c:pt>
                <c:pt idx="158">
                  <c:v>19.313866002848215</c:v>
                </c:pt>
                <c:pt idx="159">
                  <c:v>17.031489179440086</c:v>
                </c:pt>
                <c:pt idx="160">
                  <c:v>14.705074411219385</c:v>
                </c:pt>
                <c:pt idx="161">
                  <c:v>12.338542093156661</c:v>
                </c:pt>
                <c:pt idx="162">
                  <c:v>9.9361796642803881</c:v>
                </c:pt>
                <c:pt idx="163">
                  <c:v>7.5026042718174892</c:v>
                </c:pt>
                <c:pt idx="164">
                  <c:v>5.0427197137182702</c:v>
                </c:pt>
                <c:pt idx="165">
                  <c:v>2.5616681672157426</c:v>
                </c:pt>
                <c:pt idx="166">
                  <c:v>6.4777447262059695E-2</c:v>
                </c:pt>
                <c:pt idx="167">
                  <c:v>-2.4424952484865514</c:v>
                </c:pt>
                <c:pt idx="168">
                  <c:v>-4.9546219758790073</c:v>
                </c:pt>
                <c:pt idx="169">
                  <c:v>-7.4660638027247899</c:v>
                </c:pt>
                <c:pt idx="170">
                  <c:v>-9.971330361567766</c:v>
                </c:pt>
                <c:pt idx="171">
                  <c:v>-12.465037862158454</c:v>
                </c:pt>
                <c:pt idx="172">
                  <c:v>-14.941964285090449</c:v>
                </c:pt>
                <c:pt idx="173">
                  <c:v>-17.397100592620319</c:v>
                </c:pt>
                <c:pt idx="174">
                  <c:v>-19.825696957783919</c:v>
                </c:pt>
                <c:pt idx="175">
                  <c:v>-22.223303217057008</c:v>
                </c:pt>
                <c:pt idx="176">
                  <c:v>-24.585802981665523</c:v>
                </c:pt>
                <c:pt idx="177">
                  <c:v>-26.909441083864692</c:v>
                </c:pt>
                <c:pt idx="178">
                  <c:v>-29.190844273115886</c:v>
                </c:pt>
                <c:pt idx="179">
                  <c:v>-31.427035300539416</c:v>
                </c:pt>
                <c:pt idx="180">
                  <c:v>-33.615440728067171</c:v>
                </c:pt>
                <c:pt idx="181">
                  <c:v>-35.753892963790861</c:v>
                </c:pt>
                <c:pt idx="182">
                  <c:v>-37.840627152596312</c:v>
                </c:pt>
                <c:pt idx="183">
                  <c:v>-39.874273639625727</c:v>
                </c:pt>
                <c:pt idx="184">
                  <c:v>-41.853846774254379</c:v>
                </c:pt>
                <c:pt idx="185">
                  <c:v>-43.77873083705208</c:v>
                </c:pt>
                <c:pt idx="186">
                  <c:v>-45.648663855894995</c:v>
                </c:pt>
                <c:pt idx="187">
                  <c:v>-47.463720035254937</c:v>
                </c:pt>
                <c:pt idx="188">
                  <c:v>-49.224291460174555</c:v>
                </c:pt>
                <c:pt idx="189">
                  <c:v>-50.931069658907603</c:v>
                </c:pt>
                <c:pt idx="190">
                  <c:v>-52.585027520580923</c:v>
                </c:pt>
                <c:pt idx="191">
                  <c:v>-54.187401970624904</c:v>
                </c:pt>
                <c:pt idx="192">
                  <c:v>-55.739677710616405</c:v>
                </c:pt>
                <c:pt idx="193">
                  <c:v>-57.24357223309373</c:v>
                </c:pt>
                <c:pt idx="194">
                  <c:v>-58.701022227736686</c:v>
                </c:pt>
                <c:pt idx="195">
                  <c:v>-60.114171404336489</c:v>
                </c:pt>
                <c:pt idx="196">
                  <c:v>-61.485359670992551</c:v>
                </c:pt>
                <c:pt idx="197">
                  <c:v>-62.817113523638554</c:v>
                </c:pt>
                <c:pt idx="198">
                  <c:v>-64.1121374258</c:v>
                </c:pt>
                <c:pt idx="199">
                  <c:v>-65.373305886148401</c:v>
                </c:pt>
                <c:pt idx="200">
                  <c:v>-66.603655876904256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329920"/>
        <c:axId val="459332992"/>
      </c:scatterChart>
      <c:valAx>
        <c:axId val="459329920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332992"/>
        <c:crosses val="autoZero"/>
        <c:crossBetween val="midCat"/>
      </c:valAx>
      <c:valAx>
        <c:axId val="459332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Phase (°)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3299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062134821087068"/>
          <c:y val="2.5210098737657793E-2"/>
          <c:w val="0.35287865398734708"/>
          <c:h val="0.13445419322584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7.9338842975206617E-2"/>
          <c:y val="8.3798996976198303E-2"/>
          <c:w val="0.87107438016528926"/>
          <c:h val="0.84636986945960291"/>
        </c:manualLayout>
      </c:layout>
      <c:scatterChart>
        <c:scatterStyle val="smoothMarker"/>
        <c:varyColors val="0"/>
        <c:ser>
          <c:idx val="3"/>
          <c:order val="0"/>
          <c:tx>
            <c:v>Phase Margin Closed Loop</c:v>
          </c:tx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Compensation!$BF$64:$BF$264</c:f>
              <c:numCache>
                <c:formatCode>General</c:formatCode>
                <c:ptCount val="201"/>
                <c:pt idx="0">
                  <c:v>98.29597987344232</c:v>
                </c:pt>
                <c:pt idx="1">
                  <c:v>97.996254439424774</c:v>
                </c:pt>
                <c:pt idx="2">
                  <c:v>97.712851293993737</c:v>
                </c:pt>
                <c:pt idx="3">
                  <c:v>97.445249593837787</c:v>
                </c:pt>
                <c:pt idx="4">
                  <c:v>97.192951820294027</c:v>
                </c:pt>
                <c:pt idx="5">
                  <c:v>96.955483966106712</c:v>
                </c:pt>
                <c:pt idx="6">
                  <c:v>96.732395620655211</c:v>
                </c:pt>
                <c:pt idx="7">
                  <c:v>96.523259970759256</c:v>
                </c:pt>
                <c:pt idx="8">
                  <c:v>96.327673732198207</c:v>
                </c:pt>
                <c:pt idx="9">
                  <c:v>96.145257025269643</c:v>
                </c:pt>
                <c:pt idx="10">
                  <c:v>95.975653206073559</c:v>
                </c:pt>
                <c:pt idx="11">
                  <c:v>95.818528663725317</c:v>
                </c:pt>
                <c:pt idx="12">
                  <c:v>95.673572592356876</c:v>
                </c:pt>
                <c:pt idx="13">
                  <c:v>95.540496745557107</c:v>
                </c:pt>
                <c:pt idx="14">
                  <c:v>95.41903517981855</c:v>
                </c:pt>
                <c:pt idx="15">
                  <c:v>95.308943992572054</c:v>
                </c:pt>
                <c:pt idx="16">
                  <c:v>95.210001059513544</c:v>
                </c:pt>
                <c:pt idx="17">
                  <c:v>95.122005775124549</c:v>
                </c:pt>
                <c:pt idx="18">
                  <c:v>95.044778799563261</c:v>
                </c:pt>
                <c:pt idx="19">
                  <c:v>94.978161814438877</c:v>
                </c:pt>
                <c:pt idx="20">
                  <c:v>94.922017289367886</c:v>
                </c:pt>
                <c:pt idx="21">
                  <c:v>94.876228260639365</c:v>
                </c:pt>
                <c:pt idx="22">
                  <c:v>94.840698122773489</c:v>
                </c:pt>
                <c:pt idx="23">
                  <c:v>94.815350433238407</c:v>
                </c:pt>
                <c:pt idx="24">
                  <c:v>94.800128730077432</c:v>
                </c:pt>
                <c:pt idx="25">
                  <c:v>94.794996361695752</c:v>
                </c:pt>
                <c:pt idx="26">
                  <c:v>94.799936327537836</c:v>
                </c:pt>
                <c:pt idx="27">
                  <c:v>94.814951127853092</c:v>
                </c:pt>
                <c:pt idx="28">
                  <c:v>94.84006262019237</c:v>
                </c:pt>
                <c:pt idx="29">
                  <c:v>94.875311879678378</c:v>
                </c:pt>
                <c:pt idx="30">
                  <c:v>94.920759059452578</c:v>
                </c:pt>
                <c:pt idx="31">
                  <c:v>94.976483246998555</c:v>
                </c:pt>
                <c:pt idx="32">
                  <c:v>95.042582311274245</c:v>
                </c:pt>
                <c:pt idx="33">
                  <c:v>95.119172734734363</c:v>
                </c:pt>
                <c:pt idx="34">
                  <c:v>95.206389423382149</c:v>
                </c:pt>
                <c:pt idx="35">
                  <c:v>95.304385486942707</c:v>
                </c:pt>
                <c:pt idx="36">
                  <c:v>95.413331980083385</c:v>
                </c:pt>
                <c:pt idx="37">
                  <c:v>95.53341759431234</c:v>
                </c:pt>
                <c:pt idx="38">
                  <c:v>95.664848288743229</c:v>
                </c:pt>
                <c:pt idx="39">
                  <c:v>95.807846846319137</c:v>
                </c:pt>
                <c:pt idx="40">
                  <c:v>95.962652340321043</c:v>
                </c:pt>
                <c:pt idx="41">
                  <c:v>96.129519494039229</c:v>
                </c:pt>
                <c:pt idx="42">
                  <c:v>96.308717914354929</c:v>
                </c:pt>
                <c:pt idx="43">
                  <c:v>96.500531177647758</c:v>
                </c:pt>
                <c:pt idx="44">
                  <c:v>96.705255743925392</c:v>
                </c:pt>
                <c:pt idx="45">
                  <c:v>96.923199672356063</c:v>
                </c:pt>
                <c:pt idx="46">
                  <c:v>97.154681108495254</c:v>
                </c:pt>
                <c:pt idx="47">
                  <c:v>97.400026510451099</c:v>
                </c:pt>
                <c:pt idx="48">
                  <c:v>97.659568578064267</c:v>
                </c:pt>
                <c:pt idx="49">
                  <c:v>97.93364384594274</c:v>
                </c:pt>
                <c:pt idx="50">
                  <c:v>98.222589897947387</c:v>
                </c:pt>
                <c:pt idx="51">
                  <c:v>98.526742157583058</c:v>
                </c:pt>
                <c:pt idx="52">
                  <c:v>98.846430205803784</c:v>
                </c:pt>
                <c:pt idx="53">
                  <c:v>99.18197357516992</c:v>
                </c:pt>
                <c:pt idx="54">
                  <c:v>99.53367696726194</c:v>
                </c:pt>
                <c:pt idx="55">
                  <c:v>99.90182483899612</c:v>
                </c:pt>
                <c:pt idx="56">
                  <c:v>100.28667530327246</c:v>
                </c:pt>
                <c:pt idx="57">
                  <c:v>100.68845329050973</c:v>
                </c:pt>
                <c:pt idx="58">
                  <c:v>101.1073429204625</c:v>
                </c:pt>
                <c:pt idx="59">
                  <c:v>101.54347903862869</c:v>
                </c:pt>
                <c:pt idx="60">
                  <c:v>101.99693787899696</c:v>
                </c:pt>
                <c:pt idx="61">
                  <c:v>102.46772682524727</c:v>
                </c:pt>
                <c:pt idx="62">
                  <c:v>102.9557732562553</c:v>
                </c:pt>
                <c:pt idx="63">
                  <c:v>103.46091247921379</c:v>
                </c:pt>
                <c:pt idx="64">
                  <c:v>103.98287477521143</c:v>
                </c:pt>
                <c:pt idx="65">
                  <c:v>104.52127160782987</c:v>
                </c:pt>
                <c:pt idx="66">
                  <c:v>105.07558107524765</c:v>
                </c:pt>
                <c:pt idx="67">
                  <c:v>105.64513272020729</c:v>
                </c:pt>
                <c:pt idx="68">
                  <c:v>106.22909184939334</c:v>
                </c:pt>
                <c:pt idx="69">
                  <c:v>106.82644355336078</c:v>
                </c:pt>
                <c:pt idx="70">
                  <c:v>107.43597665869387</c:v>
                </c:pt>
                <c:pt idx="71">
                  <c:v>108.05626788375491</c:v>
                </c:pt>
                <c:pt idx="72">
                  <c:v>108.68566650584292</c:v>
                </c:pt>
                <c:pt idx="73">
                  <c:v>109.32227987818032</c:v>
                </c:pt>
                <c:pt idx="74">
                  <c:v>109.96396015687394</c:v>
                </c:pt>
                <c:pt idx="75">
                  <c:v>110.60829260787288</c:v>
                </c:pt>
                <c:pt idx="76">
                  <c:v>111.25258585913897</c:v>
                </c:pt>
                <c:pt idx="77">
                  <c:v>111.89386444147593</c:v>
                </c:pt>
                <c:pt idx="78">
                  <c:v>112.52886392141205</c:v>
                </c:pt>
                <c:pt idx="79">
                  <c:v>113.15402887119001</c:v>
                </c:pt>
                <c:pt idx="80">
                  <c:v>113.76551384598679</c:v>
                </c:pt>
                <c:pt idx="81">
                  <c:v>114.35918745072478</c:v>
                </c:pt>
                <c:pt idx="82">
                  <c:v>114.93063948412757</c:v>
                </c:pt>
                <c:pt idx="83">
                  <c:v>115.47519105414455</c:v>
                </c:pt>
                <c:pt idx="84">
                  <c:v>115.98790747657169</c:v>
                </c:pt>
                <c:pt idx="85">
                  <c:v>116.46361370928588</c:v>
                </c:pt>
                <c:pt idx="86">
                  <c:v>116.89691205059111</c:v>
                </c:pt>
                <c:pt idx="87">
                  <c:v>117.28220185452527</c:v>
                </c:pt>
                <c:pt idx="88">
                  <c:v>117.61370110086298</c:v>
                </c:pt>
                <c:pt idx="89">
                  <c:v>117.88546981361861</c:v>
                </c:pt>
                <c:pt idx="90">
                  <c:v>118.09143555740036</c:v>
                </c:pt>
                <c:pt idx="91">
                  <c:v>118.22542156085629</c:v>
                </c:pt>
                <c:pt idx="92">
                  <c:v>118.28117842085376</c:v>
                </c:pt>
                <c:pt idx="93">
                  <c:v>118.25242082374427</c:v>
                </c:pt>
                <c:pt idx="94">
                  <c:v>118.13287126614303</c:v>
                </c:pt>
                <c:pt idx="95">
                  <c:v>117.91631333968905</c:v>
                </c:pt>
                <c:pt idx="96">
                  <c:v>117.59665771762269</c:v>
                </c:pt>
                <c:pt idx="97">
                  <c:v>117.16802447740298</c:v>
                </c:pt>
                <c:pt idx="98">
                  <c:v>116.62484571372502</c:v>
                </c:pt>
                <c:pt idx="99">
                  <c:v>115.96199240320496</c:v>
                </c:pt>
                <c:pt idx="100">
                  <c:v>115.17492899752123</c:v>
                </c:pt>
                <c:pt idx="101">
                  <c:v>114.25989803131837</c:v>
                </c:pt>
                <c:pt idx="102">
                  <c:v>113.21413490361151</c:v>
                </c:pt>
                <c:pt idx="103">
                  <c:v>112.03610972213531</c:v>
                </c:pt>
                <c:pt idx="104">
                  <c:v>110.72578858500133</c:v>
                </c:pt>
                <c:pt idx="105">
                  <c:v>109.28490101425719</c:v>
                </c:pt>
                <c:pt idx="106">
                  <c:v>107.71719388152444</c:v>
                </c:pt>
                <c:pt idx="107">
                  <c:v>106.02864594168679</c:v>
                </c:pt>
                <c:pt idx="108">
                  <c:v>104.2276123446407</c:v>
                </c:pt>
                <c:pt idx="109">
                  <c:v>102.32486689206274</c:v>
                </c:pt>
                <c:pt idx="110">
                  <c:v>100.33351300671073</c:v>
                </c:pt>
                <c:pt idx="111">
                  <c:v>98.268743497614778</c:v>
                </c:pt>
                <c:pt idx="112">
                  <c:v>96.147444176378514</c:v>
                </c:pt>
                <c:pt idx="113">
                  <c:v>93.987655531002119</c:v>
                </c:pt>
                <c:pt idx="114">
                  <c:v>91.807926721683117</c:v>
                </c:pt>
                <c:pt idx="115">
                  <c:v>89.626612921713317</c:v>
                </c:pt>
                <c:pt idx="116">
                  <c:v>87.46117653834807</c:v>
                </c:pt>
                <c:pt idx="117">
                  <c:v>85.327552725278181</c:v>
                </c:pt>
                <c:pt idx="118">
                  <c:v>83.239629857069176</c:v>
                </c:pt>
                <c:pt idx="119">
                  <c:v>81.2088786927266</c:v>
                </c:pt>
                <c:pt idx="120">
                  <c:v>79.244143769119589</c:v>
                </c:pt>
                <c:pt idx="121">
                  <c:v>77.35159133509444</c:v>
                </c:pt>
                <c:pt idx="122">
                  <c:v>75.534793116997577</c:v>
                </c:pt>
                <c:pt idx="123">
                  <c:v>73.794916051266057</c:v>
                </c:pt>
                <c:pt idx="124">
                  <c:v>72.130984873207595</c:v>
                </c:pt>
                <c:pt idx="125">
                  <c:v>70.540185996421954</c:v>
                </c:pt>
                <c:pt idx="126">
                  <c:v>69.018185798636722</c:v>
                </c:pt>
                <c:pt idx="127">
                  <c:v>67.559442594346919</c:v>
                </c:pt>
                <c:pt idx="128">
                  <c:v>66.157497908996461</c:v>
                </c:pt>
                <c:pt idx="129">
                  <c:v>64.805238322072626</c:v>
                </c:pt>
                <c:pt idx="130">
                  <c:v>63.49512369731481</c:v>
                </c:pt>
                <c:pt idx="131">
                  <c:v>62.219380971388915</c:v>
                </c:pt>
                <c:pt idx="132">
                  <c:v>60.970164932484849</c:v>
                </c:pt>
                <c:pt idx="133">
                  <c:v>59.739688787956908</c:v>
                </c:pt>
                <c:pt idx="134">
                  <c:v>58.520328019031808</c:v>
                </c:pt>
                <c:pt idx="135">
                  <c:v>57.304701254937783</c:v>
                </c:pt>
                <c:pt idx="136">
                  <c:v>56.08573183450487</c:v>
                </c:pt>
                <c:pt idx="137">
                  <c:v>54.856693484038701</c:v>
                </c:pt>
                <c:pt idx="138">
                  <c:v>53.611243211734163</c:v>
                </c:pt>
                <c:pt idx="139">
                  <c:v>52.343444156347573</c:v>
                </c:pt>
                <c:pt idx="140">
                  <c:v>51.0477807641781</c:v>
                </c:pt>
                <c:pt idx="141">
                  <c:v>49.719168321111596</c:v>
                </c:pt>
                <c:pt idx="142">
                  <c:v>48.352958543255284</c:v>
                </c:pt>
                <c:pt idx="143">
                  <c:v>46.944942632387182</c:v>
                </c:pt>
                <c:pt idx="144">
                  <c:v>45.491352929778316</c:v>
                </c:pt>
                <c:pt idx="145">
                  <c:v>43.98886405132771</c:v>
                </c:pt>
                <c:pt idx="146">
                  <c:v>42.434594155453055</c:v>
                </c:pt>
                <c:pt idx="147">
                  <c:v>40.826106780190571</c:v>
                </c:pt>
                <c:pt idx="148">
                  <c:v>39.161413485558938</c:v>
                </c:pt>
                <c:pt idx="149">
                  <c:v>37.438977350349802</c:v>
                </c:pt>
                <c:pt idx="150">
                  <c:v>35.657717198994959</c:v>
                </c:pt>
                <c:pt idx="151">
                  <c:v>33.817012274919563</c:v>
                </c:pt>
                <c:pt idx="152">
                  <c:v>31.916706933732883</c:v>
                </c:pt>
                <c:pt idx="153">
                  <c:v>29.957114805597399</c:v>
                </c:pt>
                <c:pt idx="154">
                  <c:v>27.939021774805667</c:v>
                </c:pt>
                <c:pt idx="155">
                  <c:v>25.863687050354542</c:v>
                </c:pt>
                <c:pt idx="156">
                  <c:v>23.732841558580361</c:v>
                </c:pt>
                <c:pt idx="157">
                  <c:v>21.548682882186142</c:v>
                </c:pt>
                <c:pt idx="158">
                  <c:v>19.313866002848215</c:v>
                </c:pt>
                <c:pt idx="159">
                  <c:v>17.031489179440086</c:v>
                </c:pt>
                <c:pt idx="160">
                  <c:v>14.705074411219385</c:v>
                </c:pt>
                <c:pt idx="161">
                  <c:v>12.338542093156661</c:v>
                </c:pt>
                <c:pt idx="162">
                  <c:v>9.9361796642803881</c:v>
                </c:pt>
                <c:pt idx="163">
                  <c:v>7.5026042718174892</c:v>
                </c:pt>
                <c:pt idx="164">
                  <c:v>5.0427197137182702</c:v>
                </c:pt>
                <c:pt idx="165">
                  <c:v>2.5616681672157426</c:v>
                </c:pt>
                <c:pt idx="166">
                  <c:v>6.4777447262059695E-2</c:v>
                </c:pt>
                <c:pt idx="167">
                  <c:v>-2.4424952484865514</c:v>
                </c:pt>
                <c:pt idx="168">
                  <c:v>-4.9546219758790073</c:v>
                </c:pt>
                <c:pt idx="169">
                  <c:v>-7.4660638027247899</c:v>
                </c:pt>
                <c:pt idx="170">
                  <c:v>-9.971330361567766</c:v>
                </c:pt>
                <c:pt idx="171">
                  <c:v>-12.465037862158454</c:v>
                </c:pt>
                <c:pt idx="172">
                  <c:v>-14.941964285090449</c:v>
                </c:pt>
                <c:pt idx="173">
                  <c:v>-17.397100592620319</c:v>
                </c:pt>
                <c:pt idx="174">
                  <c:v>-19.825696957783919</c:v>
                </c:pt>
                <c:pt idx="175">
                  <c:v>-22.223303217057008</c:v>
                </c:pt>
                <c:pt idx="176">
                  <c:v>-24.585802981665523</c:v>
                </c:pt>
                <c:pt idx="177">
                  <c:v>-26.909441083864692</c:v>
                </c:pt>
                <c:pt idx="178">
                  <c:v>-29.190844273115886</c:v>
                </c:pt>
                <c:pt idx="179">
                  <c:v>-31.427035300539416</c:v>
                </c:pt>
                <c:pt idx="180">
                  <c:v>-33.615440728067171</c:v>
                </c:pt>
                <c:pt idx="181">
                  <c:v>-35.753892963790861</c:v>
                </c:pt>
                <c:pt idx="182">
                  <c:v>-37.840627152596312</c:v>
                </c:pt>
                <c:pt idx="183">
                  <c:v>-39.874273639625727</c:v>
                </c:pt>
                <c:pt idx="184">
                  <c:v>-41.853846774254379</c:v>
                </c:pt>
                <c:pt idx="185">
                  <c:v>-43.77873083705208</c:v>
                </c:pt>
                <c:pt idx="186">
                  <c:v>-45.648663855894995</c:v>
                </c:pt>
                <c:pt idx="187">
                  <c:v>-47.463720035254937</c:v>
                </c:pt>
                <c:pt idx="188">
                  <c:v>-49.224291460174555</c:v>
                </c:pt>
                <c:pt idx="189">
                  <c:v>-50.931069658907603</c:v>
                </c:pt>
                <c:pt idx="190">
                  <c:v>-52.585027520580923</c:v>
                </c:pt>
                <c:pt idx="191">
                  <c:v>-54.187401970624904</c:v>
                </c:pt>
                <c:pt idx="192">
                  <c:v>-55.739677710616405</c:v>
                </c:pt>
                <c:pt idx="193">
                  <c:v>-57.24357223309373</c:v>
                </c:pt>
                <c:pt idx="194">
                  <c:v>-58.701022227736686</c:v>
                </c:pt>
                <c:pt idx="195">
                  <c:v>-60.114171404336489</c:v>
                </c:pt>
                <c:pt idx="196">
                  <c:v>-61.485359670992551</c:v>
                </c:pt>
                <c:pt idx="197">
                  <c:v>-62.817113523638554</c:v>
                </c:pt>
                <c:pt idx="198">
                  <c:v>-64.1121374258</c:v>
                </c:pt>
                <c:pt idx="199">
                  <c:v>-65.373305886148401</c:v>
                </c:pt>
                <c:pt idx="200">
                  <c:v>-66.603655876904256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415360"/>
        <c:axId val="463704448"/>
      </c:scatterChart>
      <c:valAx>
        <c:axId val="462415360"/>
        <c:scaling>
          <c:logBase val="10"/>
          <c:orientation val="minMax"/>
          <c:min val="1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3704448"/>
        <c:crosses val="autoZero"/>
        <c:crossBetween val="midCat"/>
      </c:valAx>
      <c:valAx>
        <c:axId val="463704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Phase (°)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24153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771371847696773"/>
          <c:y val="8.4913435701772427E-2"/>
          <c:w val="0.24981163239010629"/>
          <c:h val="0.1710662651729103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7.9799869971820314E-2"/>
          <c:y val="8.0779944289693595E-2"/>
          <c:w val="0.87073515693074044"/>
          <c:h val="0.85236768802228413"/>
        </c:manualLayout>
      </c:layout>
      <c:scatterChart>
        <c:scatterStyle val="smoothMarker"/>
        <c:varyColors val="0"/>
        <c:ser>
          <c:idx val="3"/>
          <c:order val="0"/>
          <c:tx>
            <c:v>Bandwidth of Closed Loop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Compensation!$BE$64:$BE$264</c:f>
              <c:numCache>
                <c:formatCode>General</c:formatCode>
                <c:ptCount val="201"/>
                <c:pt idx="0">
                  <c:v>42.280654066486463</c:v>
                </c:pt>
                <c:pt idx="1">
                  <c:v>41.887387849066485</c:v>
                </c:pt>
                <c:pt idx="2">
                  <c:v>41.493566638056095</c:v>
                </c:pt>
                <c:pt idx="3">
                  <c:v>41.099240601115703</c:v>
                </c:pt>
                <c:pt idx="4">
                  <c:v>40.70445599730072</c:v>
                </c:pt>
                <c:pt idx="5">
                  <c:v>40.309255507812509</c:v>
                </c:pt>
                <c:pt idx="6">
                  <c:v>39.913678546389676</c:v>
                </c:pt>
                <c:pt idx="7">
                  <c:v>39.51776155037706</c:v>
                </c:pt>
                <c:pt idx="8">
                  <c:v>39.121538253583658</c:v>
                </c:pt>
                <c:pt idx="9">
                  <c:v>38.725039942108744</c:v>
                </c:pt>
                <c:pt idx="10">
                  <c:v>38.328295694338813</c:v>
                </c:pt>
                <c:pt idx="11">
                  <c:v>37.931332606338259</c:v>
                </c:pt>
                <c:pt idx="12">
                  <c:v>37.534176003864779</c:v>
                </c:pt>
                <c:pt idx="13">
                  <c:v>37.1368496422227</c:v>
                </c:pt>
                <c:pt idx="14">
                  <c:v>36.739375895168337</c:v>
                </c:pt>
                <c:pt idx="15">
                  <c:v>36.341775934050958</c:v>
                </c:pt>
                <c:pt idx="16">
                  <c:v>35.944069898359395</c:v>
                </c:pt>
                <c:pt idx="17">
                  <c:v>35.546277058822668</c:v>
                </c:pt>
                <c:pt idx="18">
                  <c:v>35.148415974187131</c:v>
                </c:pt>
                <c:pt idx="19">
                  <c:v>34.750504642779035</c:v>
                </c:pt>
                <c:pt idx="20">
                  <c:v>34.352560649938333</c:v>
                </c:pt>
                <c:pt idx="21">
                  <c:v>33.954601312400101</c:v>
                </c:pt>
                <c:pt idx="22">
                  <c:v>33.556643820683306</c:v>
                </c:pt>
                <c:pt idx="23">
                  <c:v>33.158705380543012</c:v>
                </c:pt>
                <c:pt idx="24">
                  <c:v>32.760803354538439</c:v>
                </c:pt>
                <c:pt idx="25">
                  <c:v>32.362955404766453</c:v>
                </c:pt>
                <c:pt idx="26">
                  <c:v>31.965179637819055</c:v>
                </c:pt>
                <c:pt idx="27">
                  <c:v>31.567494753027393</c:v>
                </c:pt>
                <c:pt idx="28">
                  <c:v>31.169920195072052</c:v>
                </c:pt>
                <c:pt idx="29">
                  <c:v>30.772476312049839</c:v>
                </c:pt>
                <c:pt idx="30">
                  <c:v>30.375184520107993</c:v>
                </c:pt>
                <c:pt idx="31">
                  <c:v>29.978067475777948</c:v>
                </c:pt>
                <c:pt idx="32">
                  <c:v>29.581149257159538</c:v>
                </c:pt>
                <c:pt idx="33">
                  <c:v>29.184455555131294</c:v>
                </c:pt>
                <c:pt idx="34">
                  <c:v>28.788013875779082</c:v>
                </c:pt>
                <c:pt idx="35">
                  <c:v>28.391853755256669</c:v>
                </c:pt>
                <c:pt idx="36">
                  <c:v>27.996006988300195</c:v>
                </c:pt>
                <c:pt idx="37">
                  <c:v>27.600507871627286</c:v>
                </c:pt>
                <c:pt idx="38">
                  <c:v>27.205393463440885</c:v>
                </c:pt>
                <c:pt idx="39">
                  <c:v>26.810703860244107</c:v>
                </c:pt>
                <c:pt idx="40">
                  <c:v>26.416482492126438</c:v>
                </c:pt>
                <c:pt idx="41">
                  <c:v>26.022776437629989</c:v>
                </c:pt>
                <c:pt idx="42">
                  <c:v>25.629636759203681</c:v>
                </c:pt>
                <c:pt idx="43">
                  <c:v>25.237118860135833</c:v>
                </c:pt>
                <c:pt idx="44">
                  <c:v>24.84528286368079</c:v>
                </c:pt>
                <c:pt idx="45">
                  <c:v>24.454194014874094</c:v>
                </c:pt>
                <c:pt idx="46">
                  <c:v>24.063923105247284</c:v>
                </c:pt>
                <c:pt idx="47">
                  <c:v>23.67454692029494</c:v>
                </c:pt>
                <c:pt idx="48">
                  <c:v>23.286148709104381</c:v>
                </c:pt>
                <c:pt idx="49">
                  <c:v>22.898818675009501</c:v>
                </c:pt>
                <c:pt idx="50">
                  <c:v>22.512654485486657</c:v>
                </c:pt>
                <c:pt idx="51">
                  <c:v>22.127761798710761</c:v>
                </c:pt>
                <c:pt idx="52">
                  <c:v>21.744254803278142</c:v>
                </c:pt>
                <c:pt idx="53">
                  <c:v>21.362256766509251</c:v>
                </c:pt>
                <c:pt idx="54">
                  <c:v>20.981900585497893</c:v>
                </c:pt>
                <c:pt idx="55">
                  <c:v>20.603329333638904</c:v>
                </c:pt>
                <c:pt idx="56">
                  <c:v>20.226696793753366</c:v>
                </c:pt>
                <c:pt idx="57">
                  <c:v>19.852167967129695</c:v>
                </c:pt>
                <c:pt idx="58">
                  <c:v>19.479919545821872</c:v>
                </c:pt>
                <c:pt idx="59">
                  <c:v>19.110140333422386</c:v>
                </c:pt>
                <c:pt idx="60">
                  <c:v>18.743031597269393</c:v>
                </c:pt>
                <c:pt idx="61">
                  <c:v>18.378807332730112</c:v>
                </c:pt>
                <c:pt idx="62">
                  <c:v>18.017694417872839</c:v>
                </c:pt>
                <c:pt idx="63">
                  <c:v>17.659932634611366</c:v>
                </c:pt>
                <c:pt idx="64">
                  <c:v>17.305774530370787</c:v>
                </c:pt>
                <c:pt idx="65">
                  <c:v>16.955485092644782</c:v>
                </c:pt>
                <c:pt idx="66">
                  <c:v>16.60934120764442</c:v>
                </c:pt>
                <c:pt idx="67">
                  <c:v>16.267630873748832</c:v>
                </c:pt>
                <c:pt idx="68">
                  <c:v>15.930652140886197</c:v>
                </c:pt>
                <c:pt idx="69">
                  <c:v>15.598711748447617</c:v>
                </c:pt>
                <c:pt idx="70">
                  <c:v>15.272123437090796</c:v>
                </c:pt>
                <c:pt idx="71">
                  <c:v>14.951205913933389</c:v>
                </c:pt>
                <c:pt idx="72">
                  <c:v>14.636280456271567</c:v>
                </c:pt>
                <c:pt idx="73">
                  <c:v>14.327668146073426</c:v>
                </c:pt>
                <c:pt idx="74">
                  <c:v>14.025686735976633</c:v>
                </c:pt>
                <c:pt idx="75">
                  <c:v>13.730647157098662</c:v>
                </c:pt>
                <c:pt idx="76">
                  <c:v>13.442849689245964</c:v>
                </c:pt>
                <c:pt idx="77">
                  <c:v>13.162579824486215</c:v>
                </c:pt>
                <c:pt idx="78">
                  <c:v>12.890103864808244</c:v>
                </c:pt>
                <c:pt idx="79">
                  <c:v>12.625664302865687</c:v>
                </c:pt>
                <c:pt idx="80">
                  <c:v>12.369475040643392</c:v>
                </c:pt>
                <c:pt idx="81">
                  <c:v>12.121716503371442</c:v>
                </c:pt>
                <c:pt idx="82">
                  <c:v>11.882530704266067</c:v>
                </c:pt>
                <c:pt idx="83">
                  <c:v>11.652016309065402</c:v>
                </c:pt>
                <c:pt idx="84">
                  <c:v>11.430223737460549</c:v>
                </c:pt>
                <c:pt idx="85">
                  <c:v>11.21715032147867</c:v>
                </c:pt>
                <c:pt idx="86">
                  <c:v>11.012735519160886</c:v>
                </c:pt>
                <c:pt idx="87">
                  <c:v>10.816856156626685</c:v>
                </c:pt>
                <c:pt idx="88">
                  <c:v>10.629321644529337</c:v>
                </c:pt>
                <c:pt idx="89">
                  <c:v>10.449869088334262</c:v>
                </c:pt>
                <c:pt idx="90">
                  <c:v>10.278158188834157</c:v>
                </c:pt>
                <c:pt idx="91">
                  <c:v>10.11376581352077</c:v>
                </c:pt>
                <c:pt idx="92">
                  <c:v>9.9561801153145986</c:v>
                </c:pt>
                <c:pt idx="93">
                  <c:v>9.8047940878573048</c:v>
                </c:pt>
                <c:pt idx="94">
                  <c:v>9.6588984820838935</c:v>
                </c:pt>
                <c:pt idx="95">
                  <c:v>9.5176740737960035</c:v>
                </c:pt>
                <c:pt idx="96">
                  <c:v>9.380183373667224</c:v>
                </c:pt>
                <c:pt idx="97">
                  <c:v>9.2453620166709101</c:v>
                </c:pt>
                <c:pt idx="98">
                  <c:v>9.1120102632579929</c:v>
                </c:pt>
                <c:pt idx="99">
                  <c:v>8.9787852924482401</c:v>
                </c:pt>
                <c:pt idx="100">
                  <c:v>8.8441952637251884</c:v>
                </c:pt>
                <c:pt idx="101">
                  <c:v>8.7065964559494304</c:v>
                </c:pt>
                <c:pt idx="102">
                  <c:v>8.5641951271155197</c:v>
                </c:pt>
                <c:pt idx="103">
                  <c:v>8.415056026914101</c:v>
                </c:pt>
                <c:pt idx="104">
                  <c:v>8.2571196580205513</c:v>
                </c:pt>
                <c:pt idx="105">
                  <c:v>8.0882303219099576</c:v>
                </c:pt>
                <c:pt idx="106">
                  <c:v>7.9061765887309274</c:v>
                </c:pt>
                <c:pt idx="107">
                  <c:v>7.7087449986049439</c:v>
                </c:pt>
                <c:pt idx="108">
                  <c:v>7.4937864848373454</c:v>
                </c:pt>
                <c:pt idx="109">
                  <c:v>7.2592932572902766</c:v>
                </c:pt>
                <c:pt idx="110">
                  <c:v>7.0034818849447618</c:v>
                </c:pt>
                <c:pt idx="111">
                  <c:v>6.7248764087486883</c:v>
                </c:pt>
                <c:pt idx="112">
                  <c:v>6.4223839447188711</c:v>
                </c:pt>
                <c:pt idx="113">
                  <c:v>6.0953548499823293</c:v>
                </c:pt>
                <c:pt idx="114">
                  <c:v>5.7436204212990107</c:v>
                </c:pt>
                <c:pt idx="115">
                  <c:v>5.3675032920216683</c:v>
                </c:pt>
                <c:pt idx="116">
                  <c:v>4.9677988593888953</c:v>
                </c:pt>
                <c:pt idx="117">
                  <c:v>4.5457295957747155</c:v>
                </c:pt>
                <c:pt idx="118">
                  <c:v>4.102877252581429</c:v>
                </c:pt>
                <c:pt idx="119">
                  <c:v>3.6411001430000551</c:v>
                </c:pt>
                <c:pt idx="120">
                  <c:v>3.1624435642729658</c:v>
                </c:pt>
                <c:pt idx="121">
                  <c:v>2.6690510110162347</c:v>
                </c:pt>
                <c:pt idx="122">
                  <c:v>2.1630824413713849</c:v>
                </c:pt>
                <c:pt idx="123">
                  <c:v>1.6466439345200565</c:v>
                </c:pt>
                <c:pt idx="124">
                  <c:v>1.1217310653547896</c:v>
                </c:pt>
                <c:pt idx="125">
                  <c:v>0.59018655573321177</c:v>
                </c:pt>
                <c:pt idx="126">
                  <c:v>5.3671427906754415E-2</c:v>
                </c:pt>
                <c:pt idx="127">
                  <c:v>-0.48635196755762644</c:v>
                </c:pt>
                <c:pt idx="128">
                  <c:v>-1.0286270987932691</c:v>
                </c:pt>
                <c:pt idx="129">
                  <c:v>-1.5721027131737151</c:v>
                </c:pt>
                <c:pt idx="130">
                  <c:v>-2.1159266170056963</c:v>
                </c:pt>
                <c:pt idx="131">
                  <c:v>-2.6594355228272049</c:v>
                </c:pt>
                <c:pt idx="132">
                  <c:v>-3.2021424059407138</c:v>
                </c:pt>
                <c:pt idx="133">
                  <c:v>-3.743722505044401</c:v>
                </c:pt>
                <c:pt idx="134">
                  <c:v>-4.2839988236887372</c:v>
                </c:pt>
                <c:pt idx="135">
                  <c:v>-4.8229277526999406</c:v>
                </c:pt>
                <c:pt idx="136">
                  <c:v>-5.3605852413587041</c:v>
                </c:pt>
                <c:pt idx="137">
                  <c:v>-5.8971537939052032</c:v>
                </c:pt>
                <c:pt idx="138">
                  <c:v>-6.4329104519821687</c:v>
                </c:pt>
                <c:pt idx="139">
                  <c:v>-6.9682158364141333</c:v>
                </c:pt>
                <c:pt idx="140">
                  <c:v>-7.5035042570538266</c:v>
                </c:pt>
                <c:pt idx="141">
                  <c:v>-8.0392748520889405</c:v>
                </c:pt>
                <c:pt idx="142">
                  <c:v>-8.5760836839769521</c:v>
                </c:pt>
                <c:pt idx="143">
                  <c:v>-9.1145366948848512</c:v>
                </c:pt>
                <c:pt idx="144">
                  <c:v>-9.6552834078157179</c:v>
                </c:pt>
                <c:pt idx="145">
                  <c:v>-10.199011248869416</c:v>
                </c:pt>
                <c:pt idx="146">
                  <c:v>-10.746440360192704</c:v>
                </c:pt>
                <c:pt idx="147">
                  <c:v>-11.298318771424135</c:v>
                </c:pt>
                <c:pt idx="148">
                  <c:v>-11.855417799388947</c:v>
                </c:pt>
                <c:pt idx="149">
                  <c:v>-12.41852755125543</c:v>
                </c:pt>
                <c:pt idx="150">
                  <c:v>-12.988452415198495</c:v>
                </c:pt>
                <c:pt idx="151">
                  <c:v>-13.566006434841576</c:v>
                </c:pt>
                <c:pt idx="152">
                  <c:v>-14.152008479315342</c:v>
                </c:pt>
                <c:pt idx="153">
                  <c:v>-14.747277139643053</c:v>
                </c:pt>
                <c:pt idx="154">
                  <c:v>-15.352625304146237</c:v>
                </c:pt>
                <c:pt idx="155">
                  <c:v>-15.968854390361392</c:v>
                </c:pt>
                <c:pt idx="156">
                  <c:v>-16.596748238012452</c:v>
                </c:pt>
                <c:pt idx="157">
                  <c:v>-17.237066696158998</c:v>
                </c:pt>
                <c:pt idx="158">
                  <c:v>-17.890538966720211</c:v>
                </c:pt>
                <c:pt idx="159">
                  <c:v>-18.557856794911302</c:v>
                </c:pt>
                <c:pt idx="160">
                  <c:v>-19.239667623316731</c:v>
                </c:pt>
                <c:pt idx="161">
                  <c:v>-19.936567848804994</c:v>
                </c:pt>
                <c:pt idx="162">
                  <c:v>-20.649096338747551</c:v>
                </c:pt>
                <c:pt idx="163">
                  <c:v>-21.377728373602825</c:v>
                </c:pt>
                <c:pt idx="164">
                  <c:v>-22.122870185750848</c:v>
                </c:pt>
                <c:pt idx="165">
                  <c:v>-22.884854258757002</c:v>
                </c:pt>
                <c:pt idx="166">
                  <c:v>-23.663935536810495</c:v>
                </c:pt>
                <c:pt idx="167">
                  <c:v>-24.460288671269513</c:v>
                </c:pt>
                <c:pt idx="168">
                  <c:v>-25.274006401081699</c:v>
                </c:pt>
                <c:pt idx="169">
                  <c:v>-26.105099127841108</c:v>
                </c:pt>
                <c:pt idx="170">
                  <c:v>-26.953495706453339</c:v>
                </c:pt>
                <c:pt idx="171">
                  <c:v>-27.819045431108655</c:v>
                </c:pt>
                <c:pt idx="172">
                  <c:v>-28.701521155955291</c:v>
                </c:pt>
                <c:pt idx="173">
                  <c:v>-29.600623452872451</c:v>
                </c:pt>
                <c:pt idx="174">
                  <c:v>-30.515985677115104</c:v>
                </c:pt>
                <c:pt idx="175">
                  <c:v>-31.44717978695013</c:v>
                </c:pt>
                <c:pt idx="176">
                  <c:v>-32.393722746777783</c:v>
                </c:pt>
                <c:pt idx="177">
                  <c:v>-33.355083335055113</c:v>
                </c:pt>
                <c:pt idx="178">
                  <c:v>-34.330689178463999</c:v>
                </c:pt>
                <c:pt idx="179">
                  <c:v>-35.319933841482239</c:v>
                </c:pt>
                <c:pt idx="180">
                  <c:v>-36.322183814732426</c:v>
                </c:pt>
                <c:pt idx="181">
                  <c:v>-37.336785264788837</c:v>
                </c:pt>
                <c:pt idx="182">
                  <c:v>-38.363070431000217</c:v>
                </c:pt>
                <c:pt idx="183">
                  <c:v>-39.400363579788674</c:v>
                </c:pt>
                <c:pt idx="184">
                  <c:v>-40.447986452399249</c:v>
                </c:pt>
                <c:pt idx="185">
                  <c:v>-41.505263166957604</c:v>
                </c:pt>
                <c:pt idx="186">
                  <c:v>-42.571524558963105</c:v>
                </c:pt>
                <c:pt idx="187">
                  <c:v>-43.646111965282117</c:v>
                </c:pt>
                <c:pt idx="188">
                  <c:v>-44.728380474825229</c:v>
                </c:pt>
                <c:pt idx="189">
                  <c:v>-45.817701684198653</c:v>
                </c:pt>
                <c:pt idx="190">
                  <c:v>-46.913466008617128</c:v>
                </c:pt>
                <c:pt idx="191">
                  <c:v>-48.015084607400723</c:v>
                </c:pt>
                <c:pt idx="192">
                  <c:v>-49.12199098960825</c:v>
                </c:pt>
                <c:pt idx="193">
                  <c:v>-50.233642369041426</c:v>
                </c:pt>
                <c:pt idx="194">
                  <c:v>-51.349520839236611</c:v>
                </c:pt>
                <c:pt idx="195">
                  <c:v>-52.469134438359752</c:v>
                </c:pt>
                <c:pt idx="196">
                  <c:v>-53.592018171343263</c:v>
                </c:pt>
                <c:pt idx="197">
                  <c:v>-54.717735052252472</c:v>
                </c:pt>
                <c:pt idx="198">
                  <c:v>-55.845877223854579</c:v>
                </c:pt>
                <c:pt idx="199">
                  <c:v>-56.97606720367348</c:v>
                </c:pt>
                <c:pt idx="200">
                  <c:v>-58.107959296468735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023104"/>
        <c:axId val="180188288"/>
      </c:scatterChart>
      <c:valAx>
        <c:axId val="527023104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188288"/>
        <c:crosses val="autoZero"/>
        <c:crossBetween val="midCat"/>
      </c:valAx>
      <c:valAx>
        <c:axId val="180188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Gain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0231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58789197402955"/>
          <c:y val="8.0779938052767106E-2"/>
          <c:w val="0.29647340902987301"/>
          <c:h val="0.12039059098655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wmf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image" Target="../media/image3.emf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image" Target="../media/image5.png"/><Relationship Id="rId4" Type="http://schemas.openxmlformats.org/officeDocument/2006/relationships/chart" Target="../charts/chart5.xml"/><Relationship Id="rId9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34926</xdr:colOff>
      <xdr:row>43</xdr:row>
      <xdr:rowOff>41275</xdr:rowOff>
    </xdr:from>
    <xdr:to>
      <xdr:col>7</xdr:col>
      <xdr:colOff>587376</xdr:colOff>
      <xdr:row>73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38100</xdr:rowOff>
    </xdr:from>
    <xdr:to>
      <xdr:col>7</xdr:col>
      <xdr:colOff>429223</xdr:colOff>
      <xdr:row>12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6982423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352425</xdr:colOff>
      <xdr:row>19</xdr:row>
      <xdr:rowOff>47625</xdr:rowOff>
    </xdr:from>
    <xdr:to>
      <xdr:col>13</xdr:col>
      <xdr:colOff>57150</xdr:colOff>
      <xdr:row>19</xdr:row>
      <xdr:rowOff>133350</xdr:rowOff>
    </xdr:to>
    <xdr:sp macro="" textlink="">
      <xdr:nvSpPr>
        <xdr:cNvPr id="4" name="Rectangle 3"/>
        <xdr:cNvSpPr/>
      </xdr:nvSpPr>
      <xdr:spPr>
        <a:xfrm>
          <a:off x="11106150" y="3200400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19050</xdr:colOff>
      <xdr:row>22</xdr:row>
      <xdr:rowOff>57150</xdr:rowOff>
    </xdr:from>
    <xdr:to>
      <xdr:col>13</xdr:col>
      <xdr:colOff>333375</xdr:colOff>
      <xdr:row>22</xdr:row>
      <xdr:rowOff>142875</xdr:rowOff>
    </xdr:to>
    <xdr:sp macro="" textlink="">
      <xdr:nvSpPr>
        <xdr:cNvPr id="7" name="Rectangle 6"/>
        <xdr:cNvSpPr/>
      </xdr:nvSpPr>
      <xdr:spPr>
        <a:xfrm>
          <a:off x="11382375" y="3695700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495300</xdr:colOff>
      <xdr:row>22</xdr:row>
      <xdr:rowOff>47625</xdr:rowOff>
    </xdr:from>
    <xdr:to>
      <xdr:col>15</xdr:col>
      <xdr:colOff>200025</xdr:colOff>
      <xdr:row>22</xdr:row>
      <xdr:rowOff>133350</xdr:rowOff>
    </xdr:to>
    <xdr:sp macro="" textlink="">
      <xdr:nvSpPr>
        <xdr:cNvPr id="8" name="Rectangle 7"/>
        <xdr:cNvSpPr/>
      </xdr:nvSpPr>
      <xdr:spPr>
        <a:xfrm>
          <a:off x="12468225" y="3686175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542925</xdr:colOff>
      <xdr:row>25</xdr:row>
      <xdr:rowOff>142875</xdr:rowOff>
    </xdr:from>
    <xdr:to>
      <xdr:col>15</xdr:col>
      <xdr:colOff>247650</xdr:colOff>
      <xdr:row>26</xdr:row>
      <xdr:rowOff>66675</xdr:rowOff>
    </xdr:to>
    <xdr:sp macro="" textlink="">
      <xdr:nvSpPr>
        <xdr:cNvPr id="9" name="Rectangle 8"/>
        <xdr:cNvSpPr/>
      </xdr:nvSpPr>
      <xdr:spPr>
        <a:xfrm>
          <a:off x="12515850" y="4267200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514350</xdr:colOff>
      <xdr:row>24</xdr:row>
      <xdr:rowOff>38100</xdr:rowOff>
    </xdr:from>
    <xdr:to>
      <xdr:col>16</xdr:col>
      <xdr:colOff>219075</xdr:colOff>
      <xdr:row>24</xdr:row>
      <xdr:rowOff>123825</xdr:rowOff>
    </xdr:to>
    <xdr:sp macro="" textlink="">
      <xdr:nvSpPr>
        <xdr:cNvPr id="10" name="Rectangle 9"/>
        <xdr:cNvSpPr/>
      </xdr:nvSpPr>
      <xdr:spPr>
        <a:xfrm>
          <a:off x="13096875" y="4000500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180974</xdr:colOff>
      <xdr:row>29</xdr:row>
      <xdr:rowOff>112309</xdr:rowOff>
    </xdr:from>
    <xdr:to>
      <xdr:col>8</xdr:col>
      <xdr:colOff>495299</xdr:colOff>
      <xdr:row>30</xdr:row>
      <xdr:rowOff>36109</xdr:rowOff>
    </xdr:to>
    <xdr:sp macro="" textlink="">
      <xdr:nvSpPr>
        <xdr:cNvPr id="11" name="Rectangle 10"/>
        <xdr:cNvSpPr/>
      </xdr:nvSpPr>
      <xdr:spPr>
        <a:xfrm>
          <a:off x="7458074" y="4884334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904874</xdr:colOff>
      <xdr:row>31</xdr:row>
      <xdr:rowOff>121834</xdr:rowOff>
    </xdr:from>
    <xdr:to>
      <xdr:col>12</xdr:col>
      <xdr:colOff>304799</xdr:colOff>
      <xdr:row>32</xdr:row>
      <xdr:rowOff>45634</xdr:rowOff>
    </xdr:to>
    <xdr:sp macro="" textlink="">
      <xdr:nvSpPr>
        <xdr:cNvPr id="12" name="Rectangle 11"/>
        <xdr:cNvSpPr/>
      </xdr:nvSpPr>
      <xdr:spPr>
        <a:xfrm>
          <a:off x="10744199" y="5217709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885824</xdr:colOff>
      <xdr:row>29</xdr:row>
      <xdr:rowOff>112309</xdr:rowOff>
    </xdr:from>
    <xdr:to>
      <xdr:col>12</xdr:col>
      <xdr:colOff>285749</xdr:colOff>
      <xdr:row>30</xdr:row>
      <xdr:rowOff>36109</xdr:rowOff>
    </xdr:to>
    <xdr:sp macro="" textlink="">
      <xdr:nvSpPr>
        <xdr:cNvPr id="13" name="Rectangle 12"/>
        <xdr:cNvSpPr/>
      </xdr:nvSpPr>
      <xdr:spPr>
        <a:xfrm>
          <a:off x="10725149" y="4884334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14</xdr:row>
          <xdr:rowOff>50800</xdr:rowOff>
        </xdr:from>
        <xdr:to>
          <xdr:col>16</xdr:col>
          <xdr:colOff>590550</xdr:colOff>
          <xdr:row>32</xdr:row>
          <xdr:rowOff>19050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10</xdr:row>
      <xdr:rowOff>161925</xdr:rowOff>
    </xdr:from>
    <xdr:to>
      <xdr:col>6</xdr:col>
      <xdr:colOff>1724025</xdr:colOff>
      <xdr:row>40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28574</xdr:rowOff>
    </xdr:from>
    <xdr:to>
      <xdr:col>7</xdr:col>
      <xdr:colOff>632385</xdr:colOff>
      <xdr:row>1</xdr:row>
      <xdr:rowOff>66674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4"/>
          <a:ext cx="820476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</xdr:row>
      <xdr:rowOff>28575</xdr:rowOff>
    </xdr:from>
    <xdr:to>
      <xdr:col>3</xdr:col>
      <xdr:colOff>38100</xdr:colOff>
      <xdr:row>22</xdr:row>
      <xdr:rowOff>152400</xdr:rowOff>
    </xdr:to>
    <xdr:pic>
      <xdr:nvPicPr>
        <xdr:cNvPr id="5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676650"/>
          <a:ext cx="19145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90</xdr:row>
      <xdr:rowOff>85725</xdr:rowOff>
    </xdr:from>
    <xdr:to>
      <xdr:col>6</xdr:col>
      <xdr:colOff>581025</xdr:colOff>
      <xdr:row>111</xdr:row>
      <xdr:rowOff>38100</xdr:rowOff>
    </xdr:to>
    <xdr:graphicFrame macro="">
      <xdr:nvGraphicFramePr>
        <xdr:cNvPr id="6" name="Chart 2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112</xdr:row>
      <xdr:rowOff>19050</xdr:rowOff>
    </xdr:from>
    <xdr:to>
      <xdr:col>6</xdr:col>
      <xdr:colOff>571500</xdr:colOff>
      <xdr:row>133</xdr:row>
      <xdr:rowOff>9525</xdr:rowOff>
    </xdr:to>
    <xdr:graphicFrame macro="">
      <xdr:nvGraphicFramePr>
        <xdr:cNvPr id="7" name="Chart 2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19050</xdr:colOff>
      <xdr:row>90</xdr:row>
      <xdr:rowOff>85725</xdr:rowOff>
    </xdr:from>
    <xdr:to>
      <xdr:col>13</xdr:col>
      <xdr:colOff>800100</xdr:colOff>
      <xdr:row>111</xdr:row>
      <xdr:rowOff>47625</xdr:rowOff>
    </xdr:to>
    <xdr:graphicFrame macro="">
      <xdr:nvGraphicFramePr>
        <xdr:cNvPr id="8" name="Chart 2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112</xdr:row>
      <xdr:rowOff>19050</xdr:rowOff>
    </xdr:from>
    <xdr:to>
      <xdr:col>14</xdr:col>
      <xdr:colOff>0</xdr:colOff>
      <xdr:row>133</xdr:row>
      <xdr:rowOff>19050</xdr:rowOff>
    </xdr:to>
    <xdr:graphicFrame macro="">
      <xdr:nvGraphicFramePr>
        <xdr:cNvPr id="9" name="Chart 2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666750</xdr:colOff>
      <xdr:row>66</xdr:row>
      <xdr:rowOff>180975</xdr:rowOff>
    </xdr:from>
    <xdr:to>
      <xdr:col>14</xdr:col>
      <xdr:colOff>104776</xdr:colOff>
      <xdr:row>88</xdr:row>
      <xdr:rowOff>0</xdr:rowOff>
    </xdr:to>
    <xdr:graphicFrame macro="">
      <xdr:nvGraphicFramePr>
        <xdr:cNvPr id="10" name="Chart 2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67</xdr:row>
      <xdr:rowOff>0</xdr:rowOff>
    </xdr:from>
    <xdr:to>
      <xdr:col>6</xdr:col>
      <xdr:colOff>561975</xdr:colOff>
      <xdr:row>88</xdr:row>
      <xdr:rowOff>19050</xdr:rowOff>
    </xdr:to>
    <xdr:graphicFrame macro="">
      <xdr:nvGraphicFramePr>
        <xdr:cNvPr id="11" name="Chart 2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133350</xdr:colOff>
      <xdr:row>37</xdr:row>
      <xdr:rowOff>19050</xdr:rowOff>
    </xdr:from>
    <xdr:to>
      <xdr:col>14</xdr:col>
      <xdr:colOff>457200</xdr:colOff>
      <xdr:row>56</xdr:row>
      <xdr:rowOff>0</xdr:rowOff>
    </xdr:to>
    <xdr:grpSp>
      <xdr:nvGrpSpPr>
        <xdr:cNvPr id="12" name="Group 237"/>
        <xdr:cNvGrpSpPr>
          <a:grpSpLocks/>
        </xdr:cNvGrpSpPr>
      </xdr:nvGrpSpPr>
      <xdr:grpSpPr bwMode="auto">
        <a:xfrm>
          <a:off x="6919913" y="7353300"/>
          <a:ext cx="5193506" cy="3600450"/>
          <a:chOff x="1576" y="1716"/>
          <a:chExt cx="2272" cy="1440"/>
        </a:xfrm>
      </xdr:grpSpPr>
      <xdr:grpSp>
        <xdr:nvGrpSpPr>
          <xdr:cNvPr id="13" name="Group 238"/>
          <xdr:cNvGrpSpPr>
            <a:grpSpLocks/>
          </xdr:cNvGrpSpPr>
        </xdr:nvGrpSpPr>
        <xdr:grpSpPr bwMode="auto">
          <a:xfrm>
            <a:off x="1596" y="1724"/>
            <a:ext cx="2220" cy="1392"/>
            <a:chOff x="1596" y="1724"/>
            <a:chExt cx="2220" cy="1392"/>
          </a:xfrm>
        </xdr:grpSpPr>
        <xdr:grpSp>
          <xdr:nvGrpSpPr>
            <xdr:cNvPr id="15" name="Group 239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8" name="Freeform 240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" name="Freeform 241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16" name="Line 242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" name="Line 243"/>
            <xdr:cNvSpPr>
              <a:spLocks noChangeShapeType="1"/>
            </xdr:cNvSpPr>
          </xdr:nvSpPr>
          <xdr:spPr bwMode="auto">
            <a:xfrm flipH="1">
              <a:off x="1891" y="2623"/>
              <a:ext cx="75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" name="Line 244"/>
            <xdr:cNvSpPr>
              <a:spLocks noChangeShapeType="1"/>
            </xdr:cNvSpPr>
          </xdr:nvSpPr>
          <xdr:spPr bwMode="auto">
            <a:xfrm>
              <a:off x="2929" y="2539"/>
              <a:ext cx="12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" name="Rectangle 245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20" name="Rectangle 246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21" name="Group 247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6" name="Freeform 248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" name="Freeform 249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22" name="Line 250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" name="Line 251"/>
            <xdr:cNvSpPr>
              <a:spLocks noChangeShapeType="1"/>
            </xdr:cNvSpPr>
          </xdr:nvSpPr>
          <xdr:spPr bwMode="auto">
            <a:xfrm>
              <a:off x="2929" y="2539"/>
              <a:ext cx="12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" name="Rectangle 252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25" name="Rectangle 253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26" name="Group 254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4" name="Freeform 255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" name="Freeform 256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27" name="Line 257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" name="Line 258"/>
            <xdr:cNvSpPr>
              <a:spLocks noChangeShapeType="1"/>
            </xdr:cNvSpPr>
          </xdr:nvSpPr>
          <xdr:spPr bwMode="auto">
            <a:xfrm>
              <a:off x="2929" y="2539"/>
              <a:ext cx="516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" name="Rectangle 259"/>
            <xdr:cNvSpPr>
              <a:spLocks noChangeArrowheads="1"/>
            </xdr:cNvSpPr>
          </xdr:nvSpPr>
          <xdr:spPr bwMode="auto">
            <a:xfrm>
              <a:off x="2976" y="2554"/>
              <a:ext cx="90" cy="8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FB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0" name="Rectangle 260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1" name="Rectangle 261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2" name="Rectangle 262"/>
            <xdr:cNvSpPr>
              <a:spLocks noChangeArrowheads="1"/>
            </xdr:cNvSpPr>
          </xdr:nvSpPr>
          <xdr:spPr bwMode="auto">
            <a:xfrm>
              <a:off x="2951" y="2726"/>
              <a:ext cx="188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VREF</a:t>
              </a: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33" name="Group 263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2" name="Freeform 264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" name="Freeform 265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34" name="Line 266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5" name="Rectangle 267"/>
            <xdr:cNvSpPr>
              <a:spLocks noChangeArrowheads="1"/>
            </xdr:cNvSpPr>
          </xdr:nvSpPr>
          <xdr:spPr bwMode="auto">
            <a:xfrm>
              <a:off x="1949" y="2638"/>
              <a:ext cx="262" cy="8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VCOMP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6" name="Rectangle 268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7" name="Rectangle 269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8" name="Freeform 270"/>
            <xdr:cNvSpPr>
              <a:spLocks/>
            </xdr:cNvSpPr>
          </xdr:nvSpPr>
          <xdr:spPr bwMode="auto">
            <a:xfrm>
              <a:off x="3424" y="2748"/>
              <a:ext cx="62" cy="109"/>
            </a:xfrm>
            <a:custGeom>
              <a:avLst/>
              <a:gdLst>
                <a:gd name="T0" fmla="*/ 1 w 122"/>
                <a:gd name="T1" fmla="*/ 0 h 256"/>
                <a:gd name="T2" fmla="*/ 1 w 122"/>
                <a:gd name="T3" fmla="*/ 0 h 256"/>
                <a:gd name="T4" fmla="*/ 0 w 122"/>
                <a:gd name="T5" fmla="*/ 0 h 256"/>
                <a:gd name="T6" fmla="*/ 1 w 122"/>
                <a:gd name="T7" fmla="*/ 0 h 256"/>
                <a:gd name="T8" fmla="*/ 0 w 122"/>
                <a:gd name="T9" fmla="*/ 0 h 256"/>
                <a:gd name="T10" fmla="*/ 1 w 122"/>
                <a:gd name="T11" fmla="*/ 0 h 256"/>
                <a:gd name="T12" fmla="*/ 0 w 122"/>
                <a:gd name="T13" fmla="*/ 0 h 256"/>
                <a:gd name="T14" fmla="*/ 1 w 122"/>
                <a:gd name="T15" fmla="*/ 0 h 25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22"/>
                <a:gd name="T25" fmla="*/ 0 h 256"/>
                <a:gd name="T26" fmla="*/ 122 w 122"/>
                <a:gd name="T27" fmla="*/ 256 h 25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22" h="256">
                  <a:moveTo>
                    <a:pt x="60" y="0"/>
                  </a:moveTo>
                  <a:lnTo>
                    <a:pt x="122" y="22"/>
                  </a:lnTo>
                  <a:lnTo>
                    <a:pt x="0" y="63"/>
                  </a:lnTo>
                  <a:lnTo>
                    <a:pt x="122" y="106"/>
                  </a:lnTo>
                  <a:lnTo>
                    <a:pt x="0" y="150"/>
                  </a:lnTo>
                  <a:lnTo>
                    <a:pt x="122" y="191"/>
                  </a:lnTo>
                  <a:lnTo>
                    <a:pt x="0" y="235"/>
                  </a:lnTo>
                  <a:lnTo>
                    <a:pt x="60" y="256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" name="Freeform 271"/>
            <xdr:cNvSpPr>
              <a:spLocks/>
            </xdr:cNvSpPr>
          </xdr:nvSpPr>
          <xdr:spPr bwMode="auto">
            <a:xfrm>
              <a:off x="3408" y="2168"/>
              <a:ext cx="62" cy="109"/>
            </a:xfrm>
            <a:custGeom>
              <a:avLst/>
              <a:gdLst>
                <a:gd name="T0" fmla="*/ 1 w 122"/>
                <a:gd name="T1" fmla="*/ 0 h 256"/>
                <a:gd name="T2" fmla="*/ 1 w 122"/>
                <a:gd name="T3" fmla="*/ 0 h 256"/>
                <a:gd name="T4" fmla="*/ 0 w 122"/>
                <a:gd name="T5" fmla="*/ 0 h 256"/>
                <a:gd name="T6" fmla="*/ 1 w 122"/>
                <a:gd name="T7" fmla="*/ 0 h 256"/>
                <a:gd name="T8" fmla="*/ 0 w 122"/>
                <a:gd name="T9" fmla="*/ 0 h 256"/>
                <a:gd name="T10" fmla="*/ 1 w 122"/>
                <a:gd name="T11" fmla="*/ 0 h 256"/>
                <a:gd name="T12" fmla="*/ 0 w 122"/>
                <a:gd name="T13" fmla="*/ 0 h 256"/>
                <a:gd name="T14" fmla="*/ 1 w 122"/>
                <a:gd name="T15" fmla="*/ 0 h 25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22"/>
                <a:gd name="T25" fmla="*/ 0 h 256"/>
                <a:gd name="T26" fmla="*/ 122 w 122"/>
                <a:gd name="T27" fmla="*/ 256 h 25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22" h="256">
                  <a:moveTo>
                    <a:pt x="60" y="0"/>
                  </a:moveTo>
                  <a:lnTo>
                    <a:pt x="122" y="22"/>
                  </a:lnTo>
                  <a:lnTo>
                    <a:pt x="0" y="63"/>
                  </a:lnTo>
                  <a:lnTo>
                    <a:pt x="122" y="106"/>
                  </a:lnTo>
                  <a:lnTo>
                    <a:pt x="0" y="150"/>
                  </a:lnTo>
                  <a:lnTo>
                    <a:pt x="122" y="191"/>
                  </a:lnTo>
                  <a:lnTo>
                    <a:pt x="0" y="235"/>
                  </a:lnTo>
                  <a:lnTo>
                    <a:pt x="60" y="256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grpSp>
          <xdr:nvGrpSpPr>
            <xdr:cNvPr id="40" name="Group 272"/>
            <xdr:cNvGrpSpPr>
              <a:grpSpLocks/>
            </xdr:cNvGrpSpPr>
          </xdr:nvGrpSpPr>
          <xdr:grpSpPr bwMode="auto">
            <a:xfrm rot="10800000">
              <a:off x="2496" y="2828"/>
              <a:ext cx="104" cy="212"/>
              <a:chOff x="2272" y="2612"/>
              <a:chExt cx="104" cy="212"/>
            </a:xfrm>
          </xdr:grpSpPr>
          <xdr:sp macro="" textlink="">
            <xdr:nvSpPr>
              <xdr:cNvPr id="108" name="Line 273"/>
              <xdr:cNvSpPr>
                <a:spLocks noChangeShapeType="1"/>
              </xdr:cNvSpPr>
            </xdr:nvSpPr>
            <xdr:spPr bwMode="auto">
              <a:xfrm>
                <a:off x="2324" y="2612"/>
                <a:ext cx="0" cy="8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" name="Line 274"/>
              <xdr:cNvSpPr>
                <a:spLocks noChangeShapeType="1"/>
              </xdr:cNvSpPr>
            </xdr:nvSpPr>
            <xdr:spPr bwMode="auto">
              <a:xfrm>
                <a:off x="2272" y="2700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" name="Line 275"/>
              <xdr:cNvSpPr>
                <a:spLocks noChangeShapeType="1"/>
              </xdr:cNvSpPr>
            </xdr:nvSpPr>
            <xdr:spPr bwMode="auto">
              <a:xfrm>
                <a:off x="2272" y="2744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1" name="Line 276"/>
              <xdr:cNvSpPr>
                <a:spLocks noChangeShapeType="1"/>
              </xdr:cNvSpPr>
            </xdr:nvSpPr>
            <xdr:spPr bwMode="auto">
              <a:xfrm>
                <a:off x="2324" y="2744"/>
                <a:ext cx="0" cy="8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41" name="Group 277"/>
            <xdr:cNvGrpSpPr>
              <a:grpSpLocks/>
            </xdr:cNvGrpSpPr>
          </xdr:nvGrpSpPr>
          <xdr:grpSpPr bwMode="auto">
            <a:xfrm>
              <a:off x="3564" y="2120"/>
              <a:ext cx="104" cy="212"/>
              <a:chOff x="2272" y="2612"/>
              <a:chExt cx="104" cy="212"/>
            </a:xfrm>
          </xdr:grpSpPr>
          <xdr:sp macro="" textlink="">
            <xdr:nvSpPr>
              <xdr:cNvPr id="104" name="Line 278"/>
              <xdr:cNvSpPr>
                <a:spLocks noChangeShapeType="1"/>
              </xdr:cNvSpPr>
            </xdr:nvSpPr>
            <xdr:spPr bwMode="auto">
              <a:xfrm>
                <a:off x="2324" y="2612"/>
                <a:ext cx="0" cy="8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" name="Line 279"/>
              <xdr:cNvSpPr>
                <a:spLocks noChangeShapeType="1"/>
              </xdr:cNvSpPr>
            </xdr:nvSpPr>
            <xdr:spPr bwMode="auto">
              <a:xfrm>
                <a:off x="2272" y="2700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" name="Line 280"/>
              <xdr:cNvSpPr>
                <a:spLocks noChangeShapeType="1"/>
              </xdr:cNvSpPr>
            </xdr:nvSpPr>
            <xdr:spPr bwMode="auto">
              <a:xfrm>
                <a:off x="2272" y="2744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" name="Line 281"/>
              <xdr:cNvSpPr>
                <a:spLocks noChangeShapeType="1"/>
              </xdr:cNvSpPr>
            </xdr:nvSpPr>
            <xdr:spPr bwMode="auto">
              <a:xfrm>
                <a:off x="2324" y="2744"/>
                <a:ext cx="0" cy="8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42" name="Freeform 282"/>
            <xdr:cNvSpPr>
              <a:spLocks/>
            </xdr:cNvSpPr>
          </xdr:nvSpPr>
          <xdr:spPr bwMode="auto">
            <a:xfrm rot="10800000">
              <a:off x="2516" y="2712"/>
              <a:ext cx="62" cy="109"/>
            </a:xfrm>
            <a:custGeom>
              <a:avLst/>
              <a:gdLst>
                <a:gd name="T0" fmla="*/ 1 w 122"/>
                <a:gd name="T1" fmla="*/ 0 h 256"/>
                <a:gd name="T2" fmla="*/ 1 w 122"/>
                <a:gd name="T3" fmla="*/ 0 h 256"/>
                <a:gd name="T4" fmla="*/ 0 w 122"/>
                <a:gd name="T5" fmla="*/ 0 h 256"/>
                <a:gd name="T6" fmla="*/ 1 w 122"/>
                <a:gd name="T7" fmla="*/ 0 h 256"/>
                <a:gd name="T8" fmla="*/ 0 w 122"/>
                <a:gd name="T9" fmla="*/ 0 h 256"/>
                <a:gd name="T10" fmla="*/ 1 w 122"/>
                <a:gd name="T11" fmla="*/ 0 h 256"/>
                <a:gd name="T12" fmla="*/ 0 w 122"/>
                <a:gd name="T13" fmla="*/ 0 h 256"/>
                <a:gd name="T14" fmla="*/ 1 w 122"/>
                <a:gd name="T15" fmla="*/ 0 h 25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22"/>
                <a:gd name="T25" fmla="*/ 0 h 256"/>
                <a:gd name="T26" fmla="*/ 122 w 122"/>
                <a:gd name="T27" fmla="*/ 256 h 25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22" h="256">
                  <a:moveTo>
                    <a:pt x="60" y="0"/>
                  </a:moveTo>
                  <a:lnTo>
                    <a:pt x="122" y="22"/>
                  </a:lnTo>
                  <a:lnTo>
                    <a:pt x="0" y="63"/>
                  </a:lnTo>
                  <a:lnTo>
                    <a:pt x="122" y="106"/>
                  </a:lnTo>
                  <a:lnTo>
                    <a:pt x="0" y="150"/>
                  </a:lnTo>
                  <a:lnTo>
                    <a:pt x="122" y="191"/>
                  </a:lnTo>
                  <a:lnTo>
                    <a:pt x="0" y="235"/>
                  </a:lnTo>
                  <a:lnTo>
                    <a:pt x="60" y="256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3" name="Line 283"/>
            <xdr:cNvSpPr>
              <a:spLocks noChangeShapeType="1"/>
            </xdr:cNvSpPr>
          </xdr:nvSpPr>
          <xdr:spPr bwMode="auto">
            <a:xfrm>
              <a:off x="2548" y="2620"/>
              <a:ext cx="0" cy="9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" name="Oval 284"/>
            <xdr:cNvSpPr>
              <a:spLocks noChangeArrowheads="1"/>
            </xdr:cNvSpPr>
          </xdr:nvSpPr>
          <xdr:spPr bwMode="auto">
            <a:xfrm>
              <a:off x="2528" y="2604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5" name="Line 285"/>
            <xdr:cNvSpPr>
              <a:spLocks noChangeShapeType="1"/>
            </xdr:cNvSpPr>
          </xdr:nvSpPr>
          <xdr:spPr bwMode="auto">
            <a:xfrm>
              <a:off x="3444" y="2276"/>
              <a:ext cx="4" cy="46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" name="Line 286"/>
            <xdr:cNvSpPr>
              <a:spLocks noChangeShapeType="1"/>
            </xdr:cNvSpPr>
          </xdr:nvSpPr>
          <xdr:spPr bwMode="auto">
            <a:xfrm>
              <a:off x="3452" y="2864"/>
              <a:ext cx="0" cy="13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" name="Line 287"/>
            <xdr:cNvSpPr>
              <a:spLocks noChangeShapeType="1"/>
            </xdr:cNvSpPr>
          </xdr:nvSpPr>
          <xdr:spPr bwMode="auto">
            <a:xfrm>
              <a:off x="3400" y="3004"/>
              <a:ext cx="10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" name="Line 288"/>
            <xdr:cNvSpPr>
              <a:spLocks noChangeShapeType="1"/>
            </xdr:cNvSpPr>
          </xdr:nvSpPr>
          <xdr:spPr bwMode="auto">
            <a:xfrm>
              <a:off x="3424" y="3024"/>
              <a:ext cx="5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" name="Line 289"/>
            <xdr:cNvSpPr>
              <a:spLocks noChangeShapeType="1"/>
            </xdr:cNvSpPr>
          </xdr:nvSpPr>
          <xdr:spPr bwMode="auto">
            <a:xfrm>
              <a:off x="3440" y="3044"/>
              <a:ext cx="2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" name="Line 290"/>
            <xdr:cNvSpPr>
              <a:spLocks noChangeShapeType="1"/>
            </xdr:cNvSpPr>
          </xdr:nvSpPr>
          <xdr:spPr bwMode="auto">
            <a:xfrm>
              <a:off x="3448" y="2540"/>
              <a:ext cx="16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" name="Line 291"/>
            <xdr:cNvSpPr>
              <a:spLocks noChangeShapeType="1"/>
            </xdr:cNvSpPr>
          </xdr:nvSpPr>
          <xdr:spPr bwMode="auto">
            <a:xfrm flipV="1">
              <a:off x="3616" y="2320"/>
              <a:ext cx="0" cy="22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" name="Line 292"/>
            <xdr:cNvSpPr>
              <a:spLocks noChangeShapeType="1"/>
            </xdr:cNvSpPr>
          </xdr:nvSpPr>
          <xdr:spPr bwMode="auto">
            <a:xfrm flipV="1">
              <a:off x="3440" y="1904"/>
              <a:ext cx="0" cy="26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" name="Line 293"/>
            <xdr:cNvSpPr>
              <a:spLocks noChangeShapeType="1"/>
            </xdr:cNvSpPr>
          </xdr:nvSpPr>
          <xdr:spPr bwMode="auto">
            <a:xfrm flipV="1">
              <a:off x="3616" y="1828"/>
              <a:ext cx="0" cy="30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" name="Line 294"/>
            <xdr:cNvSpPr>
              <a:spLocks noChangeShapeType="1"/>
            </xdr:cNvSpPr>
          </xdr:nvSpPr>
          <xdr:spPr bwMode="auto">
            <a:xfrm>
              <a:off x="3208" y="1904"/>
              <a:ext cx="41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" name="Rectangle 295"/>
            <xdr:cNvSpPr>
              <a:spLocks noChangeArrowheads="1"/>
            </xdr:cNvSpPr>
          </xdr:nvSpPr>
          <xdr:spPr bwMode="auto">
            <a:xfrm>
              <a:off x="2599" y="2752"/>
              <a:ext cx="70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R5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6" name="Rectangle 296"/>
            <xdr:cNvSpPr>
              <a:spLocks noChangeArrowheads="1"/>
            </xdr:cNvSpPr>
          </xdr:nvSpPr>
          <xdr:spPr bwMode="auto">
            <a:xfrm>
              <a:off x="2612" y="2893"/>
              <a:ext cx="70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C5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7" name="Rectangle 297"/>
            <xdr:cNvSpPr>
              <a:spLocks noChangeArrowheads="1"/>
            </xdr:cNvSpPr>
          </xdr:nvSpPr>
          <xdr:spPr bwMode="auto">
            <a:xfrm>
              <a:off x="3344" y="2752"/>
              <a:ext cx="102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R2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8" name="Rectangle 298"/>
            <xdr:cNvSpPr>
              <a:spLocks noChangeArrowheads="1"/>
            </xdr:cNvSpPr>
          </xdr:nvSpPr>
          <xdr:spPr bwMode="auto">
            <a:xfrm>
              <a:off x="3324" y="2188"/>
              <a:ext cx="98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R1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9" name="Rectangle 299"/>
            <xdr:cNvSpPr>
              <a:spLocks noChangeArrowheads="1"/>
            </xdr:cNvSpPr>
          </xdr:nvSpPr>
          <xdr:spPr bwMode="auto">
            <a:xfrm>
              <a:off x="3697" y="2196"/>
              <a:ext cx="119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C4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60" name="Oval 300"/>
            <xdr:cNvSpPr>
              <a:spLocks noChangeArrowheads="1"/>
            </xdr:cNvSpPr>
          </xdr:nvSpPr>
          <xdr:spPr bwMode="auto">
            <a:xfrm>
              <a:off x="3428" y="2520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" name="Oval 301"/>
            <xdr:cNvSpPr>
              <a:spLocks noChangeArrowheads="1"/>
            </xdr:cNvSpPr>
          </xdr:nvSpPr>
          <xdr:spPr bwMode="auto">
            <a:xfrm>
              <a:off x="3596" y="1888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" name="Rectangle 302"/>
            <xdr:cNvSpPr>
              <a:spLocks noChangeArrowheads="1"/>
            </xdr:cNvSpPr>
          </xdr:nvSpPr>
          <xdr:spPr bwMode="auto">
            <a:xfrm>
              <a:off x="3529" y="1724"/>
              <a:ext cx="156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OUT</a:t>
              </a: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63" name="Group 303"/>
            <xdr:cNvGrpSpPr>
              <a:grpSpLocks/>
            </xdr:cNvGrpSpPr>
          </xdr:nvGrpSpPr>
          <xdr:grpSpPr bwMode="auto">
            <a:xfrm>
              <a:off x="1596" y="2368"/>
              <a:ext cx="293" cy="329"/>
              <a:chOff x="3083" y="3207"/>
              <a:chExt cx="289" cy="329"/>
            </a:xfrm>
          </xdr:grpSpPr>
          <xdr:sp macro="" textlink="">
            <xdr:nvSpPr>
              <xdr:cNvPr id="102" name="Freeform 304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 w="1270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3" name="Freeform 305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grpSp>
          <xdr:nvGrpSpPr>
            <xdr:cNvPr id="64" name="Group 306"/>
            <xdr:cNvGrpSpPr>
              <a:grpSpLocks/>
            </xdr:cNvGrpSpPr>
          </xdr:nvGrpSpPr>
          <xdr:grpSpPr bwMode="auto">
            <a:xfrm>
              <a:off x="2492" y="3076"/>
              <a:ext cx="108" cy="40"/>
              <a:chOff x="3396" y="3040"/>
              <a:chExt cx="108" cy="40"/>
            </a:xfrm>
          </xdr:grpSpPr>
          <xdr:sp macro="" textlink="">
            <xdr:nvSpPr>
              <xdr:cNvPr id="99" name="Line 307"/>
              <xdr:cNvSpPr>
                <a:spLocks noChangeShapeType="1"/>
              </xdr:cNvSpPr>
            </xdr:nvSpPr>
            <xdr:spPr bwMode="auto">
              <a:xfrm>
                <a:off x="3396" y="3040"/>
                <a:ext cx="10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0" name="Line 308"/>
              <xdr:cNvSpPr>
                <a:spLocks noChangeShapeType="1"/>
              </xdr:cNvSpPr>
            </xdr:nvSpPr>
            <xdr:spPr bwMode="auto">
              <a:xfrm>
                <a:off x="3420" y="3060"/>
                <a:ext cx="52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1" name="Line 309"/>
              <xdr:cNvSpPr>
                <a:spLocks noChangeShapeType="1"/>
              </xdr:cNvSpPr>
            </xdr:nvSpPr>
            <xdr:spPr bwMode="auto">
              <a:xfrm>
                <a:off x="3436" y="3080"/>
                <a:ext cx="20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65" name="Oval 310"/>
            <xdr:cNvSpPr>
              <a:spLocks noChangeArrowheads="1"/>
            </xdr:cNvSpPr>
          </xdr:nvSpPr>
          <xdr:spPr bwMode="auto">
            <a:xfrm>
              <a:off x="2096" y="2196"/>
              <a:ext cx="225" cy="210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lnSpc>
                  <a:spcPts val="1900"/>
                </a:lnSpc>
                <a:defRPr sz="1000"/>
              </a:pPr>
              <a:r>
                <a:rPr lang="en-US" sz="1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  <a:p>
              <a:pPr algn="l" rtl="0">
                <a:lnSpc>
                  <a:spcPts val="19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66" name="Rectangle 311"/>
            <xdr:cNvSpPr>
              <a:spLocks noChangeArrowheads="1"/>
            </xdr:cNvSpPr>
          </xdr:nvSpPr>
          <xdr:spPr bwMode="auto">
            <a:xfrm>
              <a:off x="1838" y="2577"/>
              <a:ext cx="33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67" name="Oval 312"/>
            <xdr:cNvSpPr>
              <a:spLocks noChangeArrowheads="1"/>
            </xdr:cNvSpPr>
          </xdr:nvSpPr>
          <xdr:spPr bwMode="auto">
            <a:xfrm>
              <a:off x="3420" y="1884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8" name="Line 313"/>
            <xdr:cNvSpPr>
              <a:spLocks noChangeShapeType="1"/>
            </xdr:cNvSpPr>
          </xdr:nvSpPr>
          <xdr:spPr bwMode="auto">
            <a:xfrm flipH="1">
              <a:off x="2323" y="2315"/>
              <a:ext cx="326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69" name="Group 314"/>
            <xdr:cNvGrpSpPr>
              <a:grpSpLocks/>
            </xdr:cNvGrpSpPr>
          </xdr:nvGrpSpPr>
          <xdr:grpSpPr bwMode="auto">
            <a:xfrm rot="10800000">
              <a:off x="2368" y="2732"/>
              <a:ext cx="104" cy="212"/>
              <a:chOff x="2272" y="2612"/>
              <a:chExt cx="104" cy="212"/>
            </a:xfrm>
          </xdr:grpSpPr>
          <xdr:sp macro="" textlink="">
            <xdr:nvSpPr>
              <xdr:cNvPr id="95" name="Line 315"/>
              <xdr:cNvSpPr>
                <a:spLocks noChangeShapeType="1"/>
              </xdr:cNvSpPr>
            </xdr:nvSpPr>
            <xdr:spPr bwMode="auto">
              <a:xfrm>
                <a:off x="2324" y="2612"/>
                <a:ext cx="0" cy="8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6" name="Line 316"/>
              <xdr:cNvSpPr>
                <a:spLocks noChangeShapeType="1"/>
              </xdr:cNvSpPr>
            </xdr:nvSpPr>
            <xdr:spPr bwMode="auto">
              <a:xfrm>
                <a:off x="2272" y="2700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7" name="Line 317"/>
              <xdr:cNvSpPr>
                <a:spLocks noChangeShapeType="1"/>
              </xdr:cNvSpPr>
            </xdr:nvSpPr>
            <xdr:spPr bwMode="auto">
              <a:xfrm>
                <a:off x="2272" y="2744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8" name="Line 318"/>
              <xdr:cNvSpPr>
                <a:spLocks noChangeShapeType="1"/>
              </xdr:cNvSpPr>
            </xdr:nvSpPr>
            <xdr:spPr bwMode="auto">
              <a:xfrm>
                <a:off x="2324" y="2744"/>
                <a:ext cx="0" cy="8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70" name="Line 319"/>
            <xdr:cNvSpPr>
              <a:spLocks noChangeShapeType="1"/>
            </xdr:cNvSpPr>
          </xdr:nvSpPr>
          <xdr:spPr bwMode="auto">
            <a:xfrm>
              <a:off x="2420" y="2628"/>
              <a:ext cx="0" cy="12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1" name="Oval 320"/>
            <xdr:cNvSpPr>
              <a:spLocks noChangeArrowheads="1"/>
            </xdr:cNvSpPr>
          </xdr:nvSpPr>
          <xdr:spPr bwMode="auto">
            <a:xfrm>
              <a:off x="2400" y="2604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2" name="Line 321"/>
            <xdr:cNvSpPr>
              <a:spLocks noChangeShapeType="1"/>
            </xdr:cNvSpPr>
          </xdr:nvSpPr>
          <xdr:spPr bwMode="auto">
            <a:xfrm>
              <a:off x="2420" y="2936"/>
              <a:ext cx="0" cy="7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3" name="Line 322"/>
            <xdr:cNvSpPr>
              <a:spLocks noChangeShapeType="1"/>
            </xdr:cNvSpPr>
          </xdr:nvSpPr>
          <xdr:spPr bwMode="auto">
            <a:xfrm>
              <a:off x="2548" y="2988"/>
              <a:ext cx="0" cy="9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4" name="Line 323"/>
            <xdr:cNvSpPr>
              <a:spLocks noChangeShapeType="1"/>
            </xdr:cNvSpPr>
          </xdr:nvSpPr>
          <xdr:spPr bwMode="auto">
            <a:xfrm>
              <a:off x="2424" y="3008"/>
              <a:ext cx="124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" name="Oval 324"/>
            <xdr:cNvSpPr>
              <a:spLocks noChangeArrowheads="1"/>
            </xdr:cNvSpPr>
          </xdr:nvSpPr>
          <xdr:spPr bwMode="auto">
            <a:xfrm>
              <a:off x="2532" y="2988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6" name="Rectangle 325"/>
            <xdr:cNvSpPr>
              <a:spLocks noChangeArrowheads="1"/>
            </xdr:cNvSpPr>
          </xdr:nvSpPr>
          <xdr:spPr bwMode="auto">
            <a:xfrm>
              <a:off x="2272" y="2794"/>
              <a:ext cx="65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C6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77" name="Line 326"/>
            <xdr:cNvSpPr>
              <a:spLocks noChangeShapeType="1"/>
            </xdr:cNvSpPr>
          </xdr:nvSpPr>
          <xdr:spPr bwMode="auto">
            <a:xfrm flipV="1">
              <a:off x="2212" y="2104"/>
              <a:ext cx="0" cy="92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 type="triangle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8" name="Rectangle 327"/>
            <xdr:cNvSpPr>
              <a:spLocks noChangeArrowheads="1"/>
            </xdr:cNvSpPr>
          </xdr:nvSpPr>
          <xdr:spPr bwMode="auto">
            <a:xfrm>
              <a:off x="2100" y="2025"/>
              <a:ext cx="82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</a:t>
              </a: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79" name="Line 328"/>
            <xdr:cNvSpPr>
              <a:spLocks noChangeShapeType="1"/>
            </xdr:cNvSpPr>
          </xdr:nvSpPr>
          <xdr:spPr bwMode="auto">
            <a:xfrm flipH="1">
              <a:off x="1967" y="2299"/>
              <a:ext cx="13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0" name="Line 329"/>
            <xdr:cNvSpPr>
              <a:spLocks noChangeShapeType="1"/>
            </xdr:cNvSpPr>
          </xdr:nvSpPr>
          <xdr:spPr bwMode="auto">
            <a:xfrm flipH="1">
              <a:off x="1887" y="2435"/>
              <a:ext cx="7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1" name="Line 330"/>
            <xdr:cNvSpPr>
              <a:spLocks noChangeShapeType="1"/>
            </xdr:cNvSpPr>
          </xdr:nvSpPr>
          <xdr:spPr bwMode="auto">
            <a:xfrm rot="16200000" flipH="1">
              <a:off x="1903" y="2367"/>
              <a:ext cx="13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2" name="Rectangle 331"/>
            <xdr:cNvSpPr>
              <a:spLocks noChangeArrowheads="1"/>
            </xdr:cNvSpPr>
          </xdr:nvSpPr>
          <xdr:spPr bwMode="auto">
            <a:xfrm>
              <a:off x="2771" y="2573"/>
              <a:ext cx="102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gm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85" name="Line 338"/>
            <xdr:cNvSpPr>
              <a:spLocks noChangeShapeType="1"/>
            </xdr:cNvSpPr>
          </xdr:nvSpPr>
          <xdr:spPr bwMode="auto">
            <a:xfrm flipV="1">
              <a:off x="3615" y="2316"/>
              <a:ext cx="1" cy="21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0" name="Rectangle 343"/>
            <xdr:cNvSpPr>
              <a:spLocks noChangeArrowheads="1"/>
            </xdr:cNvSpPr>
          </xdr:nvSpPr>
          <xdr:spPr bwMode="auto">
            <a:xfrm>
              <a:off x="2403" y="2219"/>
              <a:ext cx="82" cy="8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RT</a:t>
              </a: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14" name="Rectangle 344"/>
          <xdr:cNvSpPr>
            <a:spLocks noChangeArrowheads="1"/>
          </xdr:cNvSpPr>
        </xdr:nvSpPr>
        <xdr:spPr bwMode="auto">
          <a:xfrm>
            <a:off x="1576" y="1716"/>
            <a:ext cx="2272" cy="144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35</xdr:row>
      <xdr:rowOff>123825</xdr:rowOff>
    </xdr:from>
    <xdr:to>
      <xdr:col>8</xdr:col>
      <xdr:colOff>66675</xdr:colOff>
      <xdr:row>66</xdr:row>
      <xdr:rowOff>57150</xdr:rowOff>
    </xdr:to>
    <xdr:grpSp>
      <xdr:nvGrpSpPr>
        <xdr:cNvPr id="122" name="Group 121"/>
        <xdr:cNvGrpSpPr/>
      </xdr:nvGrpSpPr>
      <xdr:grpSpPr>
        <a:xfrm>
          <a:off x="0" y="7029450"/>
          <a:ext cx="6853238" cy="5886450"/>
          <a:chOff x="0" y="6953250"/>
          <a:chExt cx="6858000" cy="5848350"/>
        </a:xfrm>
      </xdr:grpSpPr>
      <xdr:grpSp>
        <xdr:nvGrpSpPr>
          <xdr:cNvPr id="2" name="Group 223"/>
          <xdr:cNvGrpSpPr>
            <a:grpSpLocks/>
          </xdr:cNvGrpSpPr>
        </xdr:nvGrpSpPr>
        <xdr:grpSpPr bwMode="auto">
          <a:xfrm>
            <a:off x="0" y="6953250"/>
            <a:ext cx="6858000" cy="5848350"/>
            <a:chOff x="869" y="25"/>
            <a:chExt cx="562" cy="481"/>
          </a:xfrm>
        </xdr:grpSpPr>
        <xdr:pic>
          <xdr:nvPicPr>
            <xdr:cNvPr id="3" name="Picture 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69" y="25"/>
              <a:ext cx="562" cy="481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" name="Text Box 9"/>
            <xdr:cNvSpPr txBox="1">
              <a:spLocks noChangeArrowheads="1"/>
            </xdr:cNvSpPr>
          </xdr:nvSpPr>
          <xdr:spPr bwMode="auto">
            <a:xfrm>
              <a:off x="896" y="394"/>
              <a:ext cx="56" cy="4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</a:t>
              </a:r>
              <a:r>
                <a:rPr lang="en-US" sz="1800" b="0" i="0" u="none" strike="noStrike" baseline="-25000">
                  <a:solidFill>
                    <a:srgbClr val="000000"/>
                  </a:solidFill>
                  <a:latin typeface="Arial"/>
                  <a:cs typeface="Arial"/>
                </a:rPr>
                <a:t>E</a:t>
              </a:r>
            </a:p>
            <a:p>
              <a:pPr algn="l" rtl="0"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cxnSp macro="">
        <xdr:nvCxnSpPr>
          <xdr:cNvPr id="120" name="Straight Arrow Connector 119"/>
          <xdr:cNvCxnSpPr>
            <a:stCxn id="4" idx="3"/>
          </xdr:cNvCxnSpPr>
        </xdr:nvCxnSpPr>
        <xdr:spPr>
          <a:xfrm>
            <a:off x="1003077" y="11683571"/>
            <a:ext cx="435167" cy="3604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323850</xdr:colOff>
      <xdr:row>11</xdr:row>
      <xdr:rowOff>104775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650557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583405</xdr:colOff>
      <xdr:row>26</xdr:row>
      <xdr:rowOff>202405</xdr:rowOff>
    </xdr:from>
    <xdr:to>
      <xdr:col>15</xdr:col>
      <xdr:colOff>1479374</xdr:colOff>
      <xdr:row>30</xdr:row>
      <xdr:rowOff>32915</xdr:rowOff>
    </xdr:to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239624" y="5262561"/>
          <a:ext cx="1646063" cy="640135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0.49508</cdr:x>
      <cdr:y>0.5</cdr:y>
    </cdr:from>
    <cdr:to>
      <cdr:x>0.52507</cdr:x>
      <cdr:y>0.55321</cdr:y>
    </cdr:to>
    <cdr:sp macro="" textlink="">
      <cdr:nvSpPr>
        <cdr:cNvPr id="1843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9002" y="1698625"/>
          <a:ext cx="169950" cy="180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0.49606</cdr:x>
      <cdr:y>0.50122</cdr:y>
    </cdr:from>
    <cdr:to>
      <cdr:x>0.5263</cdr:x>
      <cdr:y>0.55443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4287" y="1702561"/>
          <a:ext cx="171050" cy="181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0.5027</cdr:x>
      <cdr:y>0.5017</cdr:y>
    </cdr:from>
    <cdr:to>
      <cdr:x>0.53197</cdr:x>
      <cdr:y>0.5537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4405" y="1703388"/>
          <a:ext cx="170022" cy="180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0.50614</cdr:x>
      <cdr:y>0.5017</cdr:y>
    </cdr:from>
    <cdr:to>
      <cdr:x>0.53516</cdr:x>
      <cdr:y>0.55419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3866" y="1708150"/>
          <a:ext cx="170593" cy="181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0.49852</cdr:x>
      <cdr:y>0.54861</cdr:y>
    </cdr:from>
    <cdr:to>
      <cdr:x>0.52803</cdr:x>
      <cdr:y>0.59576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0735" y="1879124"/>
          <a:ext cx="170307" cy="161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0.49508</cdr:x>
      <cdr:y>0.54885</cdr:y>
    </cdr:from>
    <cdr:to>
      <cdr:x>0.52433</cdr:x>
      <cdr:y>0.59576</cdr:y>
    </cdr:to>
    <cdr:sp macro="" textlink="">
      <cdr:nvSpPr>
        <cdr:cNvPr id="50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3147" y="1885196"/>
          <a:ext cx="170821" cy="1633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3:M118"/>
  <sheetViews>
    <sheetView tabSelected="1" topLeftCell="A7" zoomScale="120" zoomScaleNormal="120" workbookViewId="0">
      <selection activeCell="F39" sqref="F39"/>
    </sheetView>
  </sheetViews>
  <sheetFormatPr defaultRowHeight="13"/>
  <cols>
    <col min="1" max="1" width="34.26953125" style="2" bestFit="1" customWidth="1"/>
    <col min="2" max="2" width="10.81640625" style="2" customWidth="1"/>
    <col min="3" max="3" width="7" style="2" customWidth="1"/>
    <col min="4" max="4" width="2.54296875" style="2" customWidth="1"/>
    <col min="5" max="5" width="26" style="2" customWidth="1"/>
    <col min="6" max="6" width="10.1796875" style="2" customWidth="1"/>
    <col min="7" max="9" width="9.1796875" style="2"/>
    <col min="10" max="10" width="14.26953125" style="2" bestFit="1" customWidth="1"/>
    <col min="11" max="11" width="15" style="2" bestFit="1" customWidth="1"/>
    <col min="12" max="12" width="13.7265625" style="2" bestFit="1" customWidth="1"/>
    <col min="13" max="256" width="9.1796875" style="2"/>
    <col min="257" max="257" width="34.26953125" style="2" bestFit="1" customWidth="1"/>
    <col min="258" max="258" width="10.81640625" style="2" customWidth="1"/>
    <col min="259" max="259" width="7" style="2" customWidth="1"/>
    <col min="260" max="260" width="2.54296875" style="2" customWidth="1"/>
    <col min="261" max="261" width="26" style="2" customWidth="1"/>
    <col min="262" max="262" width="10.1796875" style="2" customWidth="1"/>
    <col min="263" max="265" width="9.1796875" style="2"/>
    <col min="266" max="266" width="14.26953125" style="2" bestFit="1" customWidth="1"/>
    <col min="267" max="267" width="15" style="2" bestFit="1" customWidth="1"/>
    <col min="268" max="268" width="13.7265625" style="2" bestFit="1" customWidth="1"/>
    <col min="269" max="512" width="9.1796875" style="2"/>
    <col min="513" max="513" width="34.26953125" style="2" bestFit="1" customWidth="1"/>
    <col min="514" max="514" width="10.81640625" style="2" customWidth="1"/>
    <col min="515" max="515" width="7" style="2" customWidth="1"/>
    <col min="516" max="516" width="2.54296875" style="2" customWidth="1"/>
    <col min="517" max="517" width="26" style="2" customWidth="1"/>
    <col min="518" max="518" width="10.1796875" style="2" customWidth="1"/>
    <col min="519" max="521" width="9.1796875" style="2"/>
    <col min="522" max="522" width="14.26953125" style="2" bestFit="1" customWidth="1"/>
    <col min="523" max="523" width="15" style="2" bestFit="1" customWidth="1"/>
    <col min="524" max="524" width="13.7265625" style="2" bestFit="1" customWidth="1"/>
    <col min="525" max="768" width="9.1796875" style="2"/>
    <col min="769" max="769" width="34.26953125" style="2" bestFit="1" customWidth="1"/>
    <col min="770" max="770" width="10.81640625" style="2" customWidth="1"/>
    <col min="771" max="771" width="7" style="2" customWidth="1"/>
    <col min="772" max="772" width="2.54296875" style="2" customWidth="1"/>
    <col min="773" max="773" width="26" style="2" customWidth="1"/>
    <col min="774" max="774" width="10.1796875" style="2" customWidth="1"/>
    <col min="775" max="777" width="9.1796875" style="2"/>
    <col min="778" max="778" width="14.26953125" style="2" bestFit="1" customWidth="1"/>
    <col min="779" max="779" width="15" style="2" bestFit="1" customWidth="1"/>
    <col min="780" max="780" width="13.7265625" style="2" bestFit="1" customWidth="1"/>
    <col min="781" max="1024" width="9.1796875" style="2"/>
    <col min="1025" max="1025" width="34.26953125" style="2" bestFit="1" customWidth="1"/>
    <col min="1026" max="1026" width="10.81640625" style="2" customWidth="1"/>
    <col min="1027" max="1027" width="7" style="2" customWidth="1"/>
    <col min="1028" max="1028" width="2.54296875" style="2" customWidth="1"/>
    <col min="1029" max="1029" width="26" style="2" customWidth="1"/>
    <col min="1030" max="1030" width="10.1796875" style="2" customWidth="1"/>
    <col min="1031" max="1033" width="9.1796875" style="2"/>
    <col min="1034" max="1034" width="14.26953125" style="2" bestFit="1" customWidth="1"/>
    <col min="1035" max="1035" width="15" style="2" bestFit="1" customWidth="1"/>
    <col min="1036" max="1036" width="13.7265625" style="2" bestFit="1" customWidth="1"/>
    <col min="1037" max="1280" width="9.1796875" style="2"/>
    <col min="1281" max="1281" width="34.26953125" style="2" bestFit="1" customWidth="1"/>
    <col min="1282" max="1282" width="10.81640625" style="2" customWidth="1"/>
    <col min="1283" max="1283" width="7" style="2" customWidth="1"/>
    <col min="1284" max="1284" width="2.54296875" style="2" customWidth="1"/>
    <col min="1285" max="1285" width="26" style="2" customWidth="1"/>
    <col min="1286" max="1286" width="10.1796875" style="2" customWidth="1"/>
    <col min="1287" max="1289" width="9.1796875" style="2"/>
    <col min="1290" max="1290" width="14.26953125" style="2" bestFit="1" customWidth="1"/>
    <col min="1291" max="1291" width="15" style="2" bestFit="1" customWidth="1"/>
    <col min="1292" max="1292" width="13.7265625" style="2" bestFit="1" customWidth="1"/>
    <col min="1293" max="1536" width="9.1796875" style="2"/>
    <col min="1537" max="1537" width="34.26953125" style="2" bestFit="1" customWidth="1"/>
    <col min="1538" max="1538" width="10.81640625" style="2" customWidth="1"/>
    <col min="1539" max="1539" width="7" style="2" customWidth="1"/>
    <col min="1540" max="1540" width="2.54296875" style="2" customWidth="1"/>
    <col min="1541" max="1541" width="26" style="2" customWidth="1"/>
    <col min="1542" max="1542" width="10.1796875" style="2" customWidth="1"/>
    <col min="1543" max="1545" width="9.1796875" style="2"/>
    <col min="1546" max="1546" width="14.26953125" style="2" bestFit="1" customWidth="1"/>
    <col min="1547" max="1547" width="15" style="2" bestFit="1" customWidth="1"/>
    <col min="1548" max="1548" width="13.7265625" style="2" bestFit="1" customWidth="1"/>
    <col min="1549" max="1792" width="9.1796875" style="2"/>
    <col min="1793" max="1793" width="34.26953125" style="2" bestFit="1" customWidth="1"/>
    <col min="1794" max="1794" width="10.81640625" style="2" customWidth="1"/>
    <col min="1795" max="1795" width="7" style="2" customWidth="1"/>
    <col min="1796" max="1796" width="2.54296875" style="2" customWidth="1"/>
    <col min="1797" max="1797" width="26" style="2" customWidth="1"/>
    <col min="1798" max="1798" width="10.1796875" style="2" customWidth="1"/>
    <col min="1799" max="1801" width="9.1796875" style="2"/>
    <col min="1802" max="1802" width="14.26953125" style="2" bestFit="1" customWidth="1"/>
    <col min="1803" max="1803" width="15" style="2" bestFit="1" customWidth="1"/>
    <col min="1804" max="1804" width="13.7265625" style="2" bestFit="1" customWidth="1"/>
    <col min="1805" max="2048" width="9.1796875" style="2"/>
    <col min="2049" max="2049" width="34.26953125" style="2" bestFit="1" customWidth="1"/>
    <col min="2050" max="2050" width="10.81640625" style="2" customWidth="1"/>
    <col min="2051" max="2051" width="7" style="2" customWidth="1"/>
    <col min="2052" max="2052" width="2.54296875" style="2" customWidth="1"/>
    <col min="2053" max="2053" width="26" style="2" customWidth="1"/>
    <col min="2054" max="2054" width="10.1796875" style="2" customWidth="1"/>
    <col min="2055" max="2057" width="9.1796875" style="2"/>
    <col min="2058" max="2058" width="14.26953125" style="2" bestFit="1" customWidth="1"/>
    <col min="2059" max="2059" width="15" style="2" bestFit="1" customWidth="1"/>
    <col min="2060" max="2060" width="13.7265625" style="2" bestFit="1" customWidth="1"/>
    <col min="2061" max="2304" width="9.1796875" style="2"/>
    <col min="2305" max="2305" width="34.26953125" style="2" bestFit="1" customWidth="1"/>
    <col min="2306" max="2306" width="10.81640625" style="2" customWidth="1"/>
    <col min="2307" max="2307" width="7" style="2" customWidth="1"/>
    <col min="2308" max="2308" width="2.54296875" style="2" customWidth="1"/>
    <col min="2309" max="2309" width="26" style="2" customWidth="1"/>
    <col min="2310" max="2310" width="10.1796875" style="2" customWidth="1"/>
    <col min="2311" max="2313" width="9.1796875" style="2"/>
    <col min="2314" max="2314" width="14.26953125" style="2" bestFit="1" customWidth="1"/>
    <col min="2315" max="2315" width="15" style="2" bestFit="1" customWidth="1"/>
    <col min="2316" max="2316" width="13.7265625" style="2" bestFit="1" customWidth="1"/>
    <col min="2317" max="2560" width="9.1796875" style="2"/>
    <col min="2561" max="2561" width="34.26953125" style="2" bestFit="1" customWidth="1"/>
    <col min="2562" max="2562" width="10.81640625" style="2" customWidth="1"/>
    <col min="2563" max="2563" width="7" style="2" customWidth="1"/>
    <col min="2564" max="2564" width="2.54296875" style="2" customWidth="1"/>
    <col min="2565" max="2565" width="26" style="2" customWidth="1"/>
    <col min="2566" max="2566" width="10.1796875" style="2" customWidth="1"/>
    <col min="2567" max="2569" width="9.1796875" style="2"/>
    <col min="2570" max="2570" width="14.26953125" style="2" bestFit="1" customWidth="1"/>
    <col min="2571" max="2571" width="15" style="2" bestFit="1" customWidth="1"/>
    <col min="2572" max="2572" width="13.7265625" style="2" bestFit="1" customWidth="1"/>
    <col min="2573" max="2816" width="9.1796875" style="2"/>
    <col min="2817" max="2817" width="34.26953125" style="2" bestFit="1" customWidth="1"/>
    <col min="2818" max="2818" width="10.81640625" style="2" customWidth="1"/>
    <col min="2819" max="2819" width="7" style="2" customWidth="1"/>
    <col min="2820" max="2820" width="2.54296875" style="2" customWidth="1"/>
    <col min="2821" max="2821" width="26" style="2" customWidth="1"/>
    <col min="2822" max="2822" width="10.1796875" style="2" customWidth="1"/>
    <col min="2823" max="2825" width="9.1796875" style="2"/>
    <col min="2826" max="2826" width="14.26953125" style="2" bestFit="1" customWidth="1"/>
    <col min="2827" max="2827" width="15" style="2" bestFit="1" customWidth="1"/>
    <col min="2828" max="2828" width="13.7265625" style="2" bestFit="1" customWidth="1"/>
    <col min="2829" max="3072" width="9.1796875" style="2"/>
    <col min="3073" max="3073" width="34.26953125" style="2" bestFit="1" customWidth="1"/>
    <col min="3074" max="3074" width="10.81640625" style="2" customWidth="1"/>
    <col min="3075" max="3075" width="7" style="2" customWidth="1"/>
    <col min="3076" max="3076" width="2.54296875" style="2" customWidth="1"/>
    <col min="3077" max="3077" width="26" style="2" customWidth="1"/>
    <col min="3078" max="3078" width="10.1796875" style="2" customWidth="1"/>
    <col min="3079" max="3081" width="9.1796875" style="2"/>
    <col min="3082" max="3082" width="14.26953125" style="2" bestFit="1" customWidth="1"/>
    <col min="3083" max="3083" width="15" style="2" bestFit="1" customWidth="1"/>
    <col min="3084" max="3084" width="13.7265625" style="2" bestFit="1" customWidth="1"/>
    <col min="3085" max="3328" width="9.1796875" style="2"/>
    <col min="3329" max="3329" width="34.26953125" style="2" bestFit="1" customWidth="1"/>
    <col min="3330" max="3330" width="10.81640625" style="2" customWidth="1"/>
    <col min="3331" max="3331" width="7" style="2" customWidth="1"/>
    <col min="3332" max="3332" width="2.54296875" style="2" customWidth="1"/>
    <col min="3333" max="3333" width="26" style="2" customWidth="1"/>
    <col min="3334" max="3334" width="10.1796875" style="2" customWidth="1"/>
    <col min="3335" max="3337" width="9.1796875" style="2"/>
    <col min="3338" max="3338" width="14.26953125" style="2" bestFit="1" customWidth="1"/>
    <col min="3339" max="3339" width="15" style="2" bestFit="1" customWidth="1"/>
    <col min="3340" max="3340" width="13.7265625" style="2" bestFit="1" customWidth="1"/>
    <col min="3341" max="3584" width="9.1796875" style="2"/>
    <col min="3585" max="3585" width="34.26953125" style="2" bestFit="1" customWidth="1"/>
    <col min="3586" max="3586" width="10.81640625" style="2" customWidth="1"/>
    <col min="3587" max="3587" width="7" style="2" customWidth="1"/>
    <col min="3588" max="3588" width="2.54296875" style="2" customWidth="1"/>
    <col min="3589" max="3589" width="26" style="2" customWidth="1"/>
    <col min="3590" max="3590" width="10.1796875" style="2" customWidth="1"/>
    <col min="3591" max="3593" width="9.1796875" style="2"/>
    <col min="3594" max="3594" width="14.26953125" style="2" bestFit="1" customWidth="1"/>
    <col min="3595" max="3595" width="15" style="2" bestFit="1" customWidth="1"/>
    <col min="3596" max="3596" width="13.7265625" style="2" bestFit="1" customWidth="1"/>
    <col min="3597" max="3840" width="9.1796875" style="2"/>
    <col min="3841" max="3841" width="34.26953125" style="2" bestFit="1" customWidth="1"/>
    <col min="3842" max="3842" width="10.81640625" style="2" customWidth="1"/>
    <col min="3843" max="3843" width="7" style="2" customWidth="1"/>
    <col min="3844" max="3844" width="2.54296875" style="2" customWidth="1"/>
    <col min="3845" max="3845" width="26" style="2" customWidth="1"/>
    <col min="3846" max="3846" width="10.1796875" style="2" customWidth="1"/>
    <col min="3847" max="3849" width="9.1796875" style="2"/>
    <col min="3850" max="3850" width="14.26953125" style="2" bestFit="1" customWidth="1"/>
    <col min="3851" max="3851" width="15" style="2" bestFit="1" customWidth="1"/>
    <col min="3852" max="3852" width="13.7265625" style="2" bestFit="1" customWidth="1"/>
    <col min="3853" max="4096" width="9.1796875" style="2"/>
    <col min="4097" max="4097" width="34.26953125" style="2" bestFit="1" customWidth="1"/>
    <col min="4098" max="4098" width="10.81640625" style="2" customWidth="1"/>
    <col min="4099" max="4099" width="7" style="2" customWidth="1"/>
    <col min="4100" max="4100" width="2.54296875" style="2" customWidth="1"/>
    <col min="4101" max="4101" width="26" style="2" customWidth="1"/>
    <col min="4102" max="4102" width="10.1796875" style="2" customWidth="1"/>
    <col min="4103" max="4105" width="9.1796875" style="2"/>
    <col min="4106" max="4106" width="14.26953125" style="2" bestFit="1" customWidth="1"/>
    <col min="4107" max="4107" width="15" style="2" bestFit="1" customWidth="1"/>
    <col min="4108" max="4108" width="13.7265625" style="2" bestFit="1" customWidth="1"/>
    <col min="4109" max="4352" width="9.1796875" style="2"/>
    <col min="4353" max="4353" width="34.26953125" style="2" bestFit="1" customWidth="1"/>
    <col min="4354" max="4354" width="10.81640625" style="2" customWidth="1"/>
    <col min="4355" max="4355" width="7" style="2" customWidth="1"/>
    <col min="4356" max="4356" width="2.54296875" style="2" customWidth="1"/>
    <col min="4357" max="4357" width="26" style="2" customWidth="1"/>
    <col min="4358" max="4358" width="10.1796875" style="2" customWidth="1"/>
    <col min="4359" max="4361" width="9.1796875" style="2"/>
    <col min="4362" max="4362" width="14.26953125" style="2" bestFit="1" customWidth="1"/>
    <col min="4363" max="4363" width="15" style="2" bestFit="1" customWidth="1"/>
    <col min="4364" max="4364" width="13.7265625" style="2" bestFit="1" customWidth="1"/>
    <col min="4365" max="4608" width="9.1796875" style="2"/>
    <col min="4609" max="4609" width="34.26953125" style="2" bestFit="1" customWidth="1"/>
    <col min="4610" max="4610" width="10.81640625" style="2" customWidth="1"/>
    <col min="4611" max="4611" width="7" style="2" customWidth="1"/>
    <col min="4612" max="4612" width="2.54296875" style="2" customWidth="1"/>
    <col min="4613" max="4613" width="26" style="2" customWidth="1"/>
    <col min="4614" max="4614" width="10.1796875" style="2" customWidth="1"/>
    <col min="4615" max="4617" width="9.1796875" style="2"/>
    <col min="4618" max="4618" width="14.26953125" style="2" bestFit="1" customWidth="1"/>
    <col min="4619" max="4619" width="15" style="2" bestFit="1" customWidth="1"/>
    <col min="4620" max="4620" width="13.7265625" style="2" bestFit="1" customWidth="1"/>
    <col min="4621" max="4864" width="9.1796875" style="2"/>
    <col min="4865" max="4865" width="34.26953125" style="2" bestFit="1" customWidth="1"/>
    <col min="4866" max="4866" width="10.81640625" style="2" customWidth="1"/>
    <col min="4867" max="4867" width="7" style="2" customWidth="1"/>
    <col min="4868" max="4868" width="2.54296875" style="2" customWidth="1"/>
    <col min="4869" max="4869" width="26" style="2" customWidth="1"/>
    <col min="4870" max="4870" width="10.1796875" style="2" customWidth="1"/>
    <col min="4871" max="4873" width="9.1796875" style="2"/>
    <col min="4874" max="4874" width="14.26953125" style="2" bestFit="1" customWidth="1"/>
    <col min="4875" max="4875" width="15" style="2" bestFit="1" customWidth="1"/>
    <col min="4876" max="4876" width="13.7265625" style="2" bestFit="1" customWidth="1"/>
    <col min="4877" max="5120" width="9.1796875" style="2"/>
    <col min="5121" max="5121" width="34.26953125" style="2" bestFit="1" customWidth="1"/>
    <col min="5122" max="5122" width="10.81640625" style="2" customWidth="1"/>
    <col min="5123" max="5123" width="7" style="2" customWidth="1"/>
    <col min="5124" max="5124" width="2.54296875" style="2" customWidth="1"/>
    <col min="5125" max="5125" width="26" style="2" customWidth="1"/>
    <col min="5126" max="5126" width="10.1796875" style="2" customWidth="1"/>
    <col min="5127" max="5129" width="9.1796875" style="2"/>
    <col min="5130" max="5130" width="14.26953125" style="2" bestFit="1" customWidth="1"/>
    <col min="5131" max="5131" width="15" style="2" bestFit="1" customWidth="1"/>
    <col min="5132" max="5132" width="13.7265625" style="2" bestFit="1" customWidth="1"/>
    <col min="5133" max="5376" width="9.1796875" style="2"/>
    <col min="5377" max="5377" width="34.26953125" style="2" bestFit="1" customWidth="1"/>
    <col min="5378" max="5378" width="10.81640625" style="2" customWidth="1"/>
    <col min="5379" max="5379" width="7" style="2" customWidth="1"/>
    <col min="5380" max="5380" width="2.54296875" style="2" customWidth="1"/>
    <col min="5381" max="5381" width="26" style="2" customWidth="1"/>
    <col min="5382" max="5382" width="10.1796875" style="2" customWidth="1"/>
    <col min="5383" max="5385" width="9.1796875" style="2"/>
    <col min="5386" max="5386" width="14.26953125" style="2" bestFit="1" customWidth="1"/>
    <col min="5387" max="5387" width="15" style="2" bestFit="1" customWidth="1"/>
    <col min="5388" max="5388" width="13.7265625" style="2" bestFit="1" customWidth="1"/>
    <col min="5389" max="5632" width="9.1796875" style="2"/>
    <col min="5633" max="5633" width="34.26953125" style="2" bestFit="1" customWidth="1"/>
    <col min="5634" max="5634" width="10.81640625" style="2" customWidth="1"/>
    <col min="5635" max="5635" width="7" style="2" customWidth="1"/>
    <col min="5636" max="5636" width="2.54296875" style="2" customWidth="1"/>
    <col min="5637" max="5637" width="26" style="2" customWidth="1"/>
    <col min="5638" max="5638" width="10.1796875" style="2" customWidth="1"/>
    <col min="5639" max="5641" width="9.1796875" style="2"/>
    <col min="5642" max="5642" width="14.26953125" style="2" bestFit="1" customWidth="1"/>
    <col min="5643" max="5643" width="15" style="2" bestFit="1" customWidth="1"/>
    <col min="5644" max="5644" width="13.7265625" style="2" bestFit="1" customWidth="1"/>
    <col min="5645" max="5888" width="9.1796875" style="2"/>
    <col min="5889" max="5889" width="34.26953125" style="2" bestFit="1" customWidth="1"/>
    <col min="5890" max="5890" width="10.81640625" style="2" customWidth="1"/>
    <col min="5891" max="5891" width="7" style="2" customWidth="1"/>
    <col min="5892" max="5892" width="2.54296875" style="2" customWidth="1"/>
    <col min="5893" max="5893" width="26" style="2" customWidth="1"/>
    <col min="5894" max="5894" width="10.1796875" style="2" customWidth="1"/>
    <col min="5895" max="5897" width="9.1796875" style="2"/>
    <col min="5898" max="5898" width="14.26953125" style="2" bestFit="1" customWidth="1"/>
    <col min="5899" max="5899" width="15" style="2" bestFit="1" customWidth="1"/>
    <col min="5900" max="5900" width="13.7265625" style="2" bestFit="1" customWidth="1"/>
    <col min="5901" max="6144" width="9.1796875" style="2"/>
    <col min="6145" max="6145" width="34.26953125" style="2" bestFit="1" customWidth="1"/>
    <col min="6146" max="6146" width="10.81640625" style="2" customWidth="1"/>
    <col min="6147" max="6147" width="7" style="2" customWidth="1"/>
    <col min="6148" max="6148" width="2.54296875" style="2" customWidth="1"/>
    <col min="6149" max="6149" width="26" style="2" customWidth="1"/>
    <col min="6150" max="6150" width="10.1796875" style="2" customWidth="1"/>
    <col min="6151" max="6153" width="9.1796875" style="2"/>
    <col min="6154" max="6154" width="14.26953125" style="2" bestFit="1" customWidth="1"/>
    <col min="6155" max="6155" width="15" style="2" bestFit="1" customWidth="1"/>
    <col min="6156" max="6156" width="13.7265625" style="2" bestFit="1" customWidth="1"/>
    <col min="6157" max="6400" width="9.1796875" style="2"/>
    <col min="6401" max="6401" width="34.26953125" style="2" bestFit="1" customWidth="1"/>
    <col min="6402" max="6402" width="10.81640625" style="2" customWidth="1"/>
    <col min="6403" max="6403" width="7" style="2" customWidth="1"/>
    <col min="6404" max="6404" width="2.54296875" style="2" customWidth="1"/>
    <col min="6405" max="6405" width="26" style="2" customWidth="1"/>
    <col min="6406" max="6406" width="10.1796875" style="2" customWidth="1"/>
    <col min="6407" max="6409" width="9.1796875" style="2"/>
    <col min="6410" max="6410" width="14.26953125" style="2" bestFit="1" customWidth="1"/>
    <col min="6411" max="6411" width="15" style="2" bestFit="1" customWidth="1"/>
    <col min="6412" max="6412" width="13.7265625" style="2" bestFit="1" customWidth="1"/>
    <col min="6413" max="6656" width="9.1796875" style="2"/>
    <col min="6657" max="6657" width="34.26953125" style="2" bestFit="1" customWidth="1"/>
    <col min="6658" max="6658" width="10.81640625" style="2" customWidth="1"/>
    <col min="6659" max="6659" width="7" style="2" customWidth="1"/>
    <col min="6660" max="6660" width="2.54296875" style="2" customWidth="1"/>
    <col min="6661" max="6661" width="26" style="2" customWidth="1"/>
    <col min="6662" max="6662" width="10.1796875" style="2" customWidth="1"/>
    <col min="6663" max="6665" width="9.1796875" style="2"/>
    <col min="6666" max="6666" width="14.26953125" style="2" bestFit="1" customWidth="1"/>
    <col min="6667" max="6667" width="15" style="2" bestFit="1" customWidth="1"/>
    <col min="6668" max="6668" width="13.7265625" style="2" bestFit="1" customWidth="1"/>
    <col min="6669" max="6912" width="9.1796875" style="2"/>
    <col min="6913" max="6913" width="34.26953125" style="2" bestFit="1" customWidth="1"/>
    <col min="6914" max="6914" width="10.81640625" style="2" customWidth="1"/>
    <col min="6915" max="6915" width="7" style="2" customWidth="1"/>
    <col min="6916" max="6916" width="2.54296875" style="2" customWidth="1"/>
    <col min="6917" max="6917" width="26" style="2" customWidth="1"/>
    <col min="6918" max="6918" width="10.1796875" style="2" customWidth="1"/>
    <col min="6919" max="6921" width="9.1796875" style="2"/>
    <col min="6922" max="6922" width="14.26953125" style="2" bestFit="1" customWidth="1"/>
    <col min="6923" max="6923" width="15" style="2" bestFit="1" customWidth="1"/>
    <col min="6924" max="6924" width="13.7265625" style="2" bestFit="1" customWidth="1"/>
    <col min="6925" max="7168" width="9.1796875" style="2"/>
    <col min="7169" max="7169" width="34.26953125" style="2" bestFit="1" customWidth="1"/>
    <col min="7170" max="7170" width="10.81640625" style="2" customWidth="1"/>
    <col min="7171" max="7171" width="7" style="2" customWidth="1"/>
    <col min="7172" max="7172" width="2.54296875" style="2" customWidth="1"/>
    <col min="7173" max="7173" width="26" style="2" customWidth="1"/>
    <col min="7174" max="7174" width="10.1796875" style="2" customWidth="1"/>
    <col min="7175" max="7177" width="9.1796875" style="2"/>
    <col min="7178" max="7178" width="14.26953125" style="2" bestFit="1" customWidth="1"/>
    <col min="7179" max="7179" width="15" style="2" bestFit="1" customWidth="1"/>
    <col min="7180" max="7180" width="13.7265625" style="2" bestFit="1" customWidth="1"/>
    <col min="7181" max="7424" width="9.1796875" style="2"/>
    <col min="7425" max="7425" width="34.26953125" style="2" bestFit="1" customWidth="1"/>
    <col min="7426" max="7426" width="10.81640625" style="2" customWidth="1"/>
    <col min="7427" max="7427" width="7" style="2" customWidth="1"/>
    <col min="7428" max="7428" width="2.54296875" style="2" customWidth="1"/>
    <col min="7429" max="7429" width="26" style="2" customWidth="1"/>
    <col min="7430" max="7430" width="10.1796875" style="2" customWidth="1"/>
    <col min="7431" max="7433" width="9.1796875" style="2"/>
    <col min="7434" max="7434" width="14.26953125" style="2" bestFit="1" customWidth="1"/>
    <col min="7435" max="7435" width="15" style="2" bestFit="1" customWidth="1"/>
    <col min="7436" max="7436" width="13.7265625" style="2" bestFit="1" customWidth="1"/>
    <col min="7437" max="7680" width="9.1796875" style="2"/>
    <col min="7681" max="7681" width="34.26953125" style="2" bestFit="1" customWidth="1"/>
    <col min="7682" max="7682" width="10.81640625" style="2" customWidth="1"/>
    <col min="7683" max="7683" width="7" style="2" customWidth="1"/>
    <col min="7684" max="7684" width="2.54296875" style="2" customWidth="1"/>
    <col min="7685" max="7685" width="26" style="2" customWidth="1"/>
    <col min="7686" max="7686" width="10.1796875" style="2" customWidth="1"/>
    <col min="7687" max="7689" width="9.1796875" style="2"/>
    <col min="7690" max="7690" width="14.26953125" style="2" bestFit="1" customWidth="1"/>
    <col min="7691" max="7691" width="15" style="2" bestFit="1" customWidth="1"/>
    <col min="7692" max="7692" width="13.7265625" style="2" bestFit="1" customWidth="1"/>
    <col min="7693" max="7936" width="9.1796875" style="2"/>
    <col min="7937" max="7937" width="34.26953125" style="2" bestFit="1" customWidth="1"/>
    <col min="7938" max="7938" width="10.81640625" style="2" customWidth="1"/>
    <col min="7939" max="7939" width="7" style="2" customWidth="1"/>
    <col min="7940" max="7940" width="2.54296875" style="2" customWidth="1"/>
    <col min="7941" max="7941" width="26" style="2" customWidth="1"/>
    <col min="7942" max="7942" width="10.1796875" style="2" customWidth="1"/>
    <col min="7943" max="7945" width="9.1796875" style="2"/>
    <col min="7946" max="7946" width="14.26953125" style="2" bestFit="1" customWidth="1"/>
    <col min="7947" max="7947" width="15" style="2" bestFit="1" customWidth="1"/>
    <col min="7948" max="7948" width="13.7265625" style="2" bestFit="1" customWidth="1"/>
    <col min="7949" max="8192" width="9.1796875" style="2"/>
    <col min="8193" max="8193" width="34.26953125" style="2" bestFit="1" customWidth="1"/>
    <col min="8194" max="8194" width="10.81640625" style="2" customWidth="1"/>
    <col min="8195" max="8195" width="7" style="2" customWidth="1"/>
    <col min="8196" max="8196" width="2.54296875" style="2" customWidth="1"/>
    <col min="8197" max="8197" width="26" style="2" customWidth="1"/>
    <col min="8198" max="8198" width="10.1796875" style="2" customWidth="1"/>
    <col min="8199" max="8201" width="9.1796875" style="2"/>
    <col min="8202" max="8202" width="14.26953125" style="2" bestFit="1" customWidth="1"/>
    <col min="8203" max="8203" width="15" style="2" bestFit="1" customWidth="1"/>
    <col min="8204" max="8204" width="13.7265625" style="2" bestFit="1" customWidth="1"/>
    <col min="8205" max="8448" width="9.1796875" style="2"/>
    <col min="8449" max="8449" width="34.26953125" style="2" bestFit="1" customWidth="1"/>
    <col min="8450" max="8450" width="10.81640625" style="2" customWidth="1"/>
    <col min="8451" max="8451" width="7" style="2" customWidth="1"/>
    <col min="8452" max="8452" width="2.54296875" style="2" customWidth="1"/>
    <col min="8453" max="8453" width="26" style="2" customWidth="1"/>
    <col min="8454" max="8454" width="10.1796875" style="2" customWidth="1"/>
    <col min="8455" max="8457" width="9.1796875" style="2"/>
    <col min="8458" max="8458" width="14.26953125" style="2" bestFit="1" customWidth="1"/>
    <col min="8459" max="8459" width="15" style="2" bestFit="1" customWidth="1"/>
    <col min="8460" max="8460" width="13.7265625" style="2" bestFit="1" customWidth="1"/>
    <col min="8461" max="8704" width="9.1796875" style="2"/>
    <col min="8705" max="8705" width="34.26953125" style="2" bestFit="1" customWidth="1"/>
    <col min="8706" max="8706" width="10.81640625" style="2" customWidth="1"/>
    <col min="8707" max="8707" width="7" style="2" customWidth="1"/>
    <col min="8708" max="8708" width="2.54296875" style="2" customWidth="1"/>
    <col min="8709" max="8709" width="26" style="2" customWidth="1"/>
    <col min="8710" max="8710" width="10.1796875" style="2" customWidth="1"/>
    <col min="8711" max="8713" width="9.1796875" style="2"/>
    <col min="8714" max="8714" width="14.26953125" style="2" bestFit="1" customWidth="1"/>
    <col min="8715" max="8715" width="15" style="2" bestFit="1" customWidth="1"/>
    <col min="8716" max="8716" width="13.7265625" style="2" bestFit="1" customWidth="1"/>
    <col min="8717" max="8960" width="9.1796875" style="2"/>
    <col min="8961" max="8961" width="34.26953125" style="2" bestFit="1" customWidth="1"/>
    <col min="8962" max="8962" width="10.81640625" style="2" customWidth="1"/>
    <col min="8963" max="8963" width="7" style="2" customWidth="1"/>
    <col min="8964" max="8964" width="2.54296875" style="2" customWidth="1"/>
    <col min="8965" max="8965" width="26" style="2" customWidth="1"/>
    <col min="8966" max="8966" width="10.1796875" style="2" customWidth="1"/>
    <col min="8967" max="8969" width="9.1796875" style="2"/>
    <col min="8970" max="8970" width="14.26953125" style="2" bestFit="1" customWidth="1"/>
    <col min="8971" max="8971" width="15" style="2" bestFit="1" customWidth="1"/>
    <col min="8972" max="8972" width="13.7265625" style="2" bestFit="1" customWidth="1"/>
    <col min="8973" max="9216" width="9.1796875" style="2"/>
    <col min="9217" max="9217" width="34.26953125" style="2" bestFit="1" customWidth="1"/>
    <col min="9218" max="9218" width="10.81640625" style="2" customWidth="1"/>
    <col min="9219" max="9219" width="7" style="2" customWidth="1"/>
    <col min="9220" max="9220" width="2.54296875" style="2" customWidth="1"/>
    <col min="9221" max="9221" width="26" style="2" customWidth="1"/>
    <col min="9222" max="9222" width="10.1796875" style="2" customWidth="1"/>
    <col min="9223" max="9225" width="9.1796875" style="2"/>
    <col min="9226" max="9226" width="14.26953125" style="2" bestFit="1" customWidth="1"/>
    <col min="9227" max="9227" width="15" style="2" bestFit="1" customWidth="1"/>
    <col min="9228" max="9228" width="13.7265625" style="2" bestFit="1" customWidth="1"/>
    <col min="9229" max="9472" width="9.1796875" style="2"/>
    <col min="9473" max="9473" width="34.26953125" style="2" bestFit="1" customWidth="1"/>
    <col min="9474" max="9474" width="10.81640625" style="2" customWidth="1"/>
    <col min="9475" max="9475" width="7" style="2" customWidth="1"/>
    <col min="9476" max="9476" width="2.54296875" style="2" customWidth="1"/>
    <col min="9477" max="9477" width="26" style="2" customWidth="1"/>
    <col min="9478" max="9478" width="10.1796875" style="2" customWidth="1"/>
    <col min="9479" max="9481" width="9.1796875" style="2"/>
    <col min="9482" max="9482" width="14.26953125" style="2" bestFit="1" customWidth="1"/>
    <col min="9483" max="9483" width="15" style="2" bestFit="1" customWidth="1"/>
    <col min="9484" max="9484" width="13.7265625" style="2" bestFit="1" customWidth="1"/>
    <col min="9485" max="9728" width="9.1796875" style="2"/>
    <col min="9729" max="9729" width="34.26953125" style="2" bestFit="1" customWidth="1"/>
    <col min="9730" max="9730" width="10.81640625" style="2" customWidth="1"/>
    <col min="9731" max="9731" width="7" style="2" customWidth="1"/>
    <col min="9732" max="9732" width="2.54296875" style="2" customWidth="1"/>
    <col min="9733" max="9733" width="26" style="2" customWidth="1"/>
    <col min="9734" max="9734" width="10.1796875" style="2" customWidth="1"/>
    <col min="9735" max="9737" width="9.1796875" style="2"/>
    <col min="9738" max="9738" width="14.26953125" style="2" bestFit="1" customWidth="1"/>
    <col min="9739" max="9739" width="15" style="2" bestFit="1" customWidth="1"/>
    <col min="9740" max="9740" width="13.7265625" style="2" bestFit="1" customWidth="1"/>
    <col min="9741" max="9984" width="9.1796875" style="2"/>
    <col min="9985" max="9985" width="34.26953125" style="2" bestFit="1" customWidth="1"/>
    <col min="9986" max="9986" width="10.81640625" style="2" customWidth="1"/>
    <col min="9987" max="9987" width="7" style="2" customWidth="1"/>
    <col min="9988" max="9988" width="2.54296875" style="2" customWidth="1"/>
    <col min="9989" max="9989" width="26" style="2" customWidth="1"/>
    <col min="9990" max="9990" width="10.1796875" style="2" customWidth="1"/>
    <col min="9991" max="9993" width="9.1796875" style="2"/>
    <col min="9994" max="9994" width="14.26953125" style="2" bestFit="1" customWidth="1"/>
    <col min="9995" max="9995" width="15" style="2" bestFit="1" customWidth="1"/>
    <col min="9996" max="9996" width="13.7265625" style="2" bestFit="1" customWidth="1"/>
    <col min="9997" max="10240" width="9.1796875" style="2"/>
    <col min="10241" max="10241" width="34.26953125" style="2" bestFit="1" customWidth="1"/>
    <col min="10242" max="10242" width="10.81640625" style="2" customWidth="1"/>
    <col min="10243" max="10243" width="7" style="2" customWidth="1"/>
    <col min="10244" max="10244" width="2.54296875" style="2" customWidth="1"/>
    <col min="10245" max="10245" width="26" style="2" customWidth="1"/>
    <col min="10246" max="10246" width="10.1796875" style="2" customWidth="1"/>
    <col min="10247" max="10249" width="9.1796875" style="2"/>
    <col min="10250" max="10250" width="14.26953125" style="2" bestFit="1" customWidth="1"/>
    <col min="10251" max="10251" width="15" style="2" bestFit="1" customWidth="1"/>
    <col min="10252" max="10252" width="13.7265625" style="2" bestFit="1" customWidth="1"/>
    <col min="10253" max="10496" width="9.1796875" style="2"/>
    <col min="10497" max="10497" width="34.26953125" style="2" bestFit="1" customWidth="1"/>
    <col min="10498" max="10498" width="10.81640625" style="2" customWidth="1"/>
    <col min="10499" max="10499" width="7" style="2" customWidth="1"/>
    <col min="10500" max="10500" width="2.54296875" style="2" customWidth="1"/>
    <col min="10501" max="10501" width="26" style="2" customWidth="1"/>
    <col min="10502" max="10502" width="10.1796875" style="2" customWidth="1"/>
    <col min="10503" max="10505" width="9.1796875" style="2"/>
    <col min="10506" max="10506" width="14.26953125" style="2" bestFit="1" customWidth="1"/>
    <col min="10507" max="10507" width="15" style="2" bestFit="1" customWidth="1"/>
    <col min="10508" max="10508" width="13.7265625" style="2" bestFit="1" customWidth="1"/>
    <col min="10509" max="10752" width="9.1796875" style="2"/>
    <col min="10753" max="10753" width="34.26953125" style="2" bestFit="1" customWidth="1"/>
    <col min="10754" max="10754" width="10.81640625" style="2" customWidth="1"/>
    <col min="10755" max="10755" width="7" style="2" customWidth="1"/>
    <col min="10756" max="10756" width="2.54296875" style="2" customWidth="1"/>
    <col min="10757" max="10757" width="26" style="2" customWidth="1"/>
    <col min="10758" max="10758" width="10.1796875" style="2" customWidth="1"/>
    <col min="10759" max="10761" width="9.1796875" style="2"/>
    <col min="10762" max="10762" width="14.26953125" style="2" bestFit="1" customWidth="1"/>
    <col min="10763" max="10763" width="15" style="2" bestFit="1" customWidth="1"/>
    <col min="10764" max="10764" width="13.7265625" style="2" bestFit="1" customWidth="1"/>
    <col min="10765" max="11008" width="9.1796875" style="2"/>
    <col min="11009" max="11009" width="34.26953125" style="2" bestFit="1" customWidth="1"/>
    <col min="11010" max="11010" width="10.81640625" style="2" customWidth="1"/>
    <col min="11011" max="11011" width="7" style="2" customWidth="1"/>
    <col min="11012" max="11012" width="2.54296875" style="2" customWidth="1"/>
    <col min="11013" max="11013" width="26" style="2" customWidth="1"/>
    <col min="11014" max="11014" width="10.1796875" style="2" customWidth="1"/>
    <col min="11015" max="11017" width="9.1796875" style="2"/>
    <col min="11018" max="11018" width="14.26953125" style="2" bestFit="1" customWidth="1"/>
    <col min="11019" max="11019" width="15" style="2" bestFit="1" customWidth="1"/>
    <col min="11020" max="11020" width="13.7265625" style="2" bestFit="1" customWidth="1"/>
    <col min="11021" max="11264" width="9.1796875" style="2"/>
    <col min="11265" max="11265" width="34.26953125" style="2" bestFit="1" customWidth="1"/>
    <col min="11266" max="11266" width="10.81640625" style="2" customWidth="1"/>
    <col min="11267" max="11267" width="7" style="2" customWidth="1"/>
    <col min="11268" max="11268" width="2.54296875" style="2" customWidth="1"/>
    <col min="11269" max="11269" width="26" style="2" customWidth="1"/>
    <col min="11270" max="11270" width="10.1796875" style="2" customWidth="1"/>
    <col min="11271" max="11273" width="9.1796875" style="2"/>
    <col min="11274" max="11274" width="14.26953125" style="2" bestFit="1" customWidth="1"/>
    <col min="11275" max="11275" width="15" style="2" bestFit="1" customWidth="1"/>
    <col min="11276" max="11276" width="13.7265625" style="2" bestFit="1" customWidth="1"/>
    <col min="11277" max="11520" width="9.1796875" style="2"/>
    <col min="11521" max="11521" width="34.26953125" style="2" bestFit="1" customWidth="1"/>
    <col min="11522" max="11522" width="10.81640625" style="2" customWidth="1"/>
    <col min="11523" max="11523" width="7" style="2" customWidth="1"/>
    <col min="11524" max="11524" width="2.54296875" style="2" customWidth="1"/>
    <col min="11525" max="11525" width="26" style="2" customWidth="1"/>
    <col min="11526" max="11526" width="10.1796875" style="2" customWidth="1"/>
    <col min="11527" max="11529" width="9.1796875" style="2"/>
    <col min="11530" max="11530" width="14.26953125" style="2" bestFit="1" customWidth="1"/>
    <col min="11531" max="11531" width="15" style="2" bestFit="1" customWidth="1"/>
    <col min="11532" max="11532" width="13.7265625" style="2" bestFit="1" customWidth="1"/>
    <col min="11533" max="11776" width="9.1796875" style="2"/>
    <col min="11777" max="11777" width="34.26953125" style="2" bestFit="1" customWidth="1"/>
    <col min="11778" max="11778" width="10.81640625" style="2" customWidth="1"/>
    <col min="11779" max="11779" width="7" style="2" customWidth="1"/>
    <col min="11780" max="11780" width="2.54296875" style="2" customWidth="1"/>
    <col min="11781" max="11781" width="26" style="2" customWidth="1"/>
    <col min="11782" max="11782" width="10.1796875" style="2" customWidth="1"/>
    <col min="11783" max="11785" width="9.1796875" style="2"/>
    <col min="11786" max="11786" width="14.26953125" style="2" bestFit="1" customWidth="1"/>
    <col min="11787" max="11787" width="15" style="2" bestFit="1" customWidth="1"/>
    <col min="11788" max="11788" width="13.7265625" style="2" bestFit="1" customWidth="1"/>
    <col min="11789" max="12032" width="9.1796875" style="2"/>
    <col min="12033" max="12033" width="34.26953125" style="2" bestFit="1" customWidth="1"/>
    <col min="12034" max="12034" width="10.81640625" style="2" customWidth="1"/>
    <col min="12035" max="12035" width="7" style="2" customWidth="1"/>
    <col min="12036" max="12036" width="2.54296875" style="2" customWidth="1"/>
    <col min="12037" max="12037" width="26" style="2" customWidth="1"/>
    <col min="12038" max="12038" width="10.1796875" style="2" customWidth="1"/>
    <col min="12039" max="12041" width="9.1796875" style="2"/>
    <col min="12042" max="12042" width="14.26953125" style="2" bestFit="1" customWidth="1"/>
    <col min="12043" max="12043" width="15" style="2" bestFit="1" customWidth="1"/>
    <col min="12044" max="12044" width="13.7265625" style="2" bestFit="1" customWidth="1"/>
    <col min="12045" max="12288" width="9.1796875" style="2"/>
    <col min="12289" max="12289" width="34.26953125" style="2" bestFit="1" customWidth="1"/>
    <col min="12290" max="12290" width="10.81640625" style="2" customWidth="1"/>
    <col min="12291" max="12291" width="7" style="2" customWidth="1"/>
    <col min="12292" max="12292" width="2.54296875" style="2" customWidth="1"/>
    <col min="12293" max="12293" width="26" style="2" customWidth="1"/>
    <col min="12294" max="12294" width="10.1796875" style="2" customWidth="1"/>
    <col min="12295" max="12297" width="9.1796875" style="2"/>
    <col min="12298" max="12298" width="14.26953125" style="2" bestFit="1" customWidth="1"/>
    <col min="12299" max="12299" width="15" style="2" bestFit="1" customWidth="1"/>
    <col min="12300" max="12300" width="13.7265625" style="2" bestFit="1" customWidth="1"/>
    <col min="12301" max="12544" width="9.1796875" style="2"/>
    <col min="12545" max="12545" width="34.26953125" style="2" bestFit="1" customWidth="1"/>
    <col min="12546" max="12546" width="10.81640625" style="2" customWidth="1"/>
    <col min="12547" max="12547" width="7" style="2" customWidth="1"/>
    <col min="12548" max="12548" width="2.54296875" style="2" customWidth="1"/>
    <col min="12549" max="12549" width="26" style="2" customWidth="1"/>
    <col min="12550" max="12550" width="10.1796875" style="2" customWidth="1"/>
    <col min="12551" max="12553" width="9.1796875" style="2"/>
    <col min="12554" max="12554" width="14.26953125" style="2" bestFit="1" customWidth="1"/>
    <col min="12555" max="12555" width="15" style="2" bestFit="1" customWidth="1"/>
    <col min="12556" max="12556" width="13.7265625" style="2" bestFit="1" customWidth="1"/>
    <col min="12557" max="12800" width="9.1796875" style="2"/>
    <col min="12801" max="12801" width="34.26953125" style="2" bestFit="1" customWidth="1"/>
    <col min="12802" max="12802" width="10.81640625" style="2" customWidth="1"/>
    <col min="12803" max="12803" width="7" style="2" customWidth="1"/>
    <col min="12804" max="12804" width="2.54296875" style="2" customWidth="1"/>
    <col min="12805" max="12805" width="26" style="2" customWidth="1"/>
    <col min="12806" max="12806" width="10.1796875" style="2" customWidth="1"/>
    <col min="12807" max="12809" width="9.1796875" style="2"/>
    <col min="12810" max="12810" width="14.26953125" style="2" bestFit="1" customWidth="1"/>
    <col min="12811" max="12811" width="15" style="2" bestFit="1" customWidth="1"/>
    <col min="12812" max="12812" width="13.7265625" style="2" bestFit="1" customWidth="1"/>
    <col min="12813" max="13056" width="9.1796875" style="2"/>
    <col min="13057" max="13057" width="34.26953125" style="2" bestFit="1" customWidth="1"/>
    <col min="13058" max="13058" width="10.81640625" style="2" customWidth="1"/>
    <col min="13059" max="13059" width="7" style="2" customWidth="1"/>
    <col min="13060" max="13060" width="2.54296875" style="2" customWidth="1"/>
    <col min="13061" max="13061" width="26" style="2" customWidth="1"/>
    <col min="13062" max="13062" width="10.1796875" style="2" customWidth="1"/>
    <col min="13063" max="13065" width="9.1796875" style="2"/>
    <col min="13066" max="13066" width="14.26953125" style="2" bestFit="1" customWidth="1"/>
    <col min="13067" max="13067" width="15" style="2" bestFit="1" customWidth="1"/>
    <col min="13068" max="13068" width="13.7265625" style="2" bestFit="1" customWidth="1"/>
    <col min="13069" max="13312" width="9.1796875" style="2"/>
    <col min="13313" max="13313" width="34.26953125" style="2" bestFit="1" customWidth="1"/>
    <col min="13314" max="13314" width="10.81640625" style="2" customWidth="1"/>
    <col min="13315" max="13315" width="7" style="2" customWidth="1"/>
    <col min="13316" max="13316" width="2.54296875" style="2" customWidth="1"/>
    <col min="13317" max="13317" width="26" style="2" customWidth="1"/>
    <col min="13318" max="13318" width="10.1796875" style="2" customWidth="1"/>
    <col min="13319" max="13321" width="9.1796875" style="2"/>
    <col min="13322" max="13322" width="14.26953125" style="2" bestFit="1" customWidth="1"/>
    <col min="13323" max="13323" width="15" style="2" bestFit="1" customWidth="1"/>
    <col min="13324" max="13324" width="13.7265625" style="2" bestFit="1" customWidth="1"/>
    <col min="13325" max="13568" width="9.1796875" style="2"/>
    <col min="13569" max="13569" width="34.26953125" style="2" bestFit="1" customWidth="1"/>
    <col min="13570" max="13570" width="10.81640625" style="2" customWidth="1"/>
    <col min="13571" max="13571" width="7" style="2" customWidth="1"/>
    <col min="13572" max="13572" width="2.54296875" style="2" customWidth="1"/>
    <col min="13573" max="13573" width="26" style="2" customWidth="1"/>
    <col min="13574" max="13574" width="10.1796875" style="2" customWidth="1"/>
    <col min="13575" max="13577" width="9.1796875" style="2"/>
    <col min="13578" max="13578" width="14.26953125" style="2" bestFit="1" customWidth="1"/>
    <col min="13579" max="13579" width="15" style="2" bestFit="1" customWidth="1"/>
    <col min="13580" max="13580" width="13.7265625" style="2" bestFit="1" customWidth="1"/>
    <col min="13581" max="13824" width="9.1796875" style="2"/>
    <col min="13825" max="13825" width="34.26953125" style="2" bestFit="1" customWidth="1"/>
    <col min="13826" max="13826" width="10.81640625" style="2" customWidth="1"/>
    <col min="13827" max="13827" width="7" style="2" customWidth="1"/>
    <col min="13828" max="13828" width="2.54296875" style="2" customWidth="1"/>
    <col min="13829" max="13829" width="26" style="2" customWidth="1"/>
    <col min="13830" max="13830" width="10.1796875" style="2" customWidth="1"/>
    <col min="13831" max="13833" width="9.1796875" style="2"/>
    <col min="13834" max="13834" width="14.26953125" style="2" bestFit="1" customWidth="1"/>
    <col min="13835" max="13835" width="15" style="2" bestFit="1" customWidth="1"/>
    <col min="13836" max="13836" width="13.7265625" style="2" bestFit="1" customWidth="1"/>
    <col min="13837" max="14080" width="9.1796875" style="2"/>
    <col min="14081" max="14081" width="34.26953125" style="2" bestFit="1" customWidth="1"/>
    <col min="14082" max="14082" width="10.81640625" style="2" customWidth="1"/>
    <col min="14083" max="14083" width="7" style="2" customWidth="1"/>
    <col min="14084" max="14084" width="2.54296875" style="2" customWidth="1"/>
    <col min="14085" max="14085" width="26" style="2" customWidth="1"/>
    <col min="14086" max="14086" width="10.1796875" style="2" customWidth="1"/>
    <col min="14087" max="14089" width="9.1796875" style="2"/>
    <col min="14090" max="14090" width="14.26953125" style="2" bestFit="1" customWidth="1"/>
    <col min="14091" max="14091" width="15" style="2" bestFit="1" customWidth="1"/>
    <col min="14092" max="14092" width="13.7265625" style="2" bestFit="1" customWidth="1"/>
    <col min="14093" max="14336" width="9.1796875" style="2"/>
    <col min="14337" max="14337" width="34.26953125" style="2" bestFit="1" customWidth="1"/>
    <col min="14338" max="14338" width="10.81640625" style="2" customWidth="1"/>
    <col min="14339" max="14339" width="7" style="2" customWidth="1"/>
    <col min="14340" max="14340" width="2.54296875" style="2" customWidth="1"/>
    <col min="14341" max="14341" width="26" style="2" customWidth="1"/>
    <col min="14342" max="14342" width="10.1796875" style="2" customWidth="1"/>
    <col min="14343" max="14345" width="9.1796875" style="2"/>
    <col min="14346" max="14346" width="14.26953125" style="2" bestFit="1" customWidth="1"/>
    <col min="14347" max="14347" width="15" style="2" bestFit="1" customWidth="1"/>
    <col min="14348" max="14348" width="13.7265625" style="2" bestFit="1" customWidth="1"/>
    <col min="14349" max="14592" width="9.1796875" style="2"/>
    <col min="14593" max="14593" width="34.26953125" style="2" bestFit="1" customWidth="1"/>
    <col min="14594" max="14594" width="10.81640625" style="2" customWidth="1"/>
    <col min="14595" max="14595" width="7" style="2" customWidth="1"/>
    <col min="14596" max="14596" width="2.54296875" style="2" customWidth="1"/>
    <col min="14597" max="14597" width="26" style="2" customWidth="1"/>
    <col min="14598" max="14598" width="10.1796875" style="2" customWidth="1"/>
    <col min="14599" max="14601" width="9.1796875" style="2"/>
    <col min="14602" max="14602" width="14.26953125" style="2" bestFit="1" customWidth="1"/>
    <col min="14603" max="14603" width="15" style="2" bestFit="1" customWidth="1"/>
    <col min="14604" max="14604" width="13.7265625" style="2" bestFit="1" customWidth="1"/>
    <col min="14605" max="14848" width="9.1796875" style="2"/>
    <col min="14849" max="14849" width="34.26953125" style="2" bestFit="1" customWidth="1"/>
    <col min="14850" max="14850" width="10.81640625" style="2" customWidth="1"/>
    <col min="14851" max="14851" width="7" style="2" customWidth="1"/>
    <col min="14852" max="14852" width="2.54296875" style="2" customWidth="1"/>
    <col min="14853" max="14853" width="26" style="2" customWidth="1"/>
    <col min="14854" max="14854" width="10.1796875" style="2" customWidth="1"/>
    <col min="14855" max="14857" width="9.1796875" style="2"/>
    <col min="14858" max="14858" width="14.26953125" style="2" bestFit="1" customWidth="1"/>
    <col min="14859" max="14859" width="15" style="2" bestFit="1" customWidth="1"/>
    <col min="14860" max="14860" width="13.7265625" style="2" bestFit="1" customWidth="1"/>
    <col min="14861" max="15104" width="9.1796875" style="2"/>
    <col min="15105" max="15105" width="34.26953125" style="2" bestFit="1" customWidth="1"/>
    <col min="15106" max="15106" width="10.81640625" style="2" customWidth="1"/>
    <col min="15107" max="15107" width="7" style="2" customWidth="1"/>
    <col min="15108" max="15108" width="2.54296875" style="2" customWidth="1"/>
    <col min="15109" max="15109" width="26" style="2" customWidth="1"/>
    <col min="15110" max="15110" width="10.1796875" style="2" customWidth="1"/>
    <col min="15111" max="15113" width="9.1796875" style="2"/>
    <col min="15114" max="15114" width="14.26953125" style="2" bestFit="1" customWidth="1"/>
    <col min="15115" max="15115" width="15" style="2" bestFit="1" customWidth="1"/>
    <col min="15116" max="15116" width="13.7265625" style="2" bestFit="1" customWidth="1"/>
    <col min="15117" max="15360" width="9.1796875" style="2"/>
    <col min="15361" max="15361" width="34.26953125" style="2" bestFit="1" customWidth="1"/>
    <col min="15362" max="15362" width="10.81640625" style="2" customWidth="1"/>
    <col min="15363" max="15363" width="7" style="2" customWidth="1"/>
    <col min="15364" max="15364" width="2.54296875" style="2" customWidth="1"/>
    <col min="15365" max="15365" width="26" style="2" customWidth="1"/>
    <col min="15366" max="15366" width="10.1796875" style="2" customWidth="1"/>
    <col min="15367" max="15369" width="9.1796875" style="2"/>
    <col min="15370" max="15370" width="14.26953125" style="2" bestFit="1" customWidth="1"/>
    <col min="15371" max="15371" width="15" style="2" bestFit="1" customWidth="1"/>
    <col min="15372" max="15372" width="13.7265625" style="2" bestFit="1" customWidth="1"/>
    <col min="15373" max="15616" width="9.1796875" style="2"/>
    <col min="15617" max="15617" width="34.26953125" style="2" bestFit="1" customWidth="1"/>
    <col min="15618" max="15618" width="10.81640625" style="2" customWidth="1"/>
    <col min="15619" max="15619" width="7" style="2" customWidth="1"/>
    <col min="15620" max="15620" width="2.54296875" style="2" customWidth="1"/>
    <col min="15621" max="15621" width="26" style="2" customWidth="1"/>
    <col min="15622" max="15622" width="10.1796875" style="2" customWidth="1"/>
    <col min="15623" max="15625" width="9.1796875" style="2"/>
    <col min="15626" max="15626" width="14.26953125" style="2" bestFit="1" customWidth="1"/>
    <col min="15627" max="15627" width="15" style="2" bestFit="1" customWidth="1"/>
    <col min="15628" max="15628" width="13.7265625" style="2" bestFit="1" customWidth="1"/>
    <col min="15629" max="15872" width="9.1796875" style="2"/>
    <col min="15873" max="15873" width="34.26953125" style="2" bestFit="1" customWidth="1"/>
    <col min="15874" max="15874" width="10.81640625" style="2" customWidth="1"/>
    <col min="15875" max="15875" width="7" style="2" customWidth="1"/>
    <col min="15876" max="15876" width="2.54296875" style="2" customWidth="1"/>
    <col min="15877" max="15877" width="26" style="2" customWidth="1"/>
    <col min="15878" max="15878" width="10.1796875" style="2" customWidth="1"/>
    <col min="15879" max="15881" width="9.1796875" style="2"/>
    <col min="15882" max="15882" width="14.26953125" style="2" bestFit="1" customWidth="1"/>
    <col min="15883" max="15883" width="15" style="2" bestFit="1" customWidth="1"/>
    <col min="15884" max="15884" width="13.7265625" style="2" bestFit="1" customWidth="1"/>
    <col min="15885" max="16128" width="9.1796875" style="2"/>
    <col min="16129" max="16129" width="34.26953125" style="2" bestFit="1" customWidth="1"/>
    <col min="16130" max="16130" width="10.81640625" style="2" customWidth="1"/>
    <col min="16131" max="16131" width="7" style="2" customWidth="1"/>
    <col min="16132" max="16132" width="2.54296875" style="2" customWidth="1"/>
    <col min="16133" max="16133" width="26" style="2" customWidth="1"/>
    <col min="16134" max="16134" width="10.1796875" style="2" customWidth="1"/>
    <col min="16135" max="16137" width="9.1796875" style="2"/>
    <col min="16138" max="16138" width="14.26953125" style="2" bestFit="1" customWidth="1"/>
    <col min="16139" max="16139" width="15" style="2" bestFit="1" customWidth="1"/>
    <col min="16140" max="16140" width="13.7265625" style="2" bestFit="1" customWidth="1"/>
    <col min="16141" max="16384" width="9.1796875" style="2"/>
  </cols>
  <sheetData>
    <row r="13" spans="1:8" ht="13.5" thickBot="1">
      <c r="A13" s="1"/>
      <c r="B13" s="1"/>
      <c r="C13" s="1"/>
      <c r="D13" s="1"/>
      <c r="E13" s="1"/>
      <c r="F13" s="1"/>
      <c r="G13" s="1"/>
      <c r="H13" s="1"/>
    </row>
    <row r="14" spans="1:8">
      <c r="A14" s="2" t="s">
        <v>253</v>
      </c>
    </row>
    <row r="16" spans="1:8" ht="18">
      <c r="A16" s="3" t="s">
        <v>0</v>
      </c>
      <c r="E16"/>
    </row>
    <row r="17" spans="1:13" ht="13" customHeight="1">
      <c r="A17" s="2" t="s">
        <v>255</v>
      </c>
      <c r="B17" s="114" t="s">
        <v>274</v>
      </c>
      <c r="F17" s="4" t="str">
        <f>IF(F18&lt;95,"Minimum On-Time Too Low. Reduce Operating Frequency!","")</f>
        <v/>
      </c>
    </row>
    <row r="18" spans="1:13" ht="13" customHeight="1">
      <c r="A18" s="2" t="s">
        <v>1</v>
      </c>
      <c r="B18" s="7">
        <v>570</v>
      </c>
      <c r="C18" s="6" t="s">
        <v>2</v>
      </c>
      <c r="E18" s="2" t="s">
        <v>3</v>
      </c>
      <c r="F18" s="7">
        <f>D*1000000000/(Fs*1000)</f>
        <v>773.12331764087537</v>
      </c>
      <c r="G18" s="6" t="s">
        <v>4</v>
      </c>
    </row>
    <row r="19" spans="1:13" ht="13" customHeight="1">
      <c r="A19" s="163" t="str">
        <f>IF(OR(Vin&lt;3.8,Vin&gt;40),"Input Voltage Out of Range","Input Voltage (3.8V-40V)")</f>
        <v>Input Voltage (3.8V-40V)</v>
      </c>
      <c r="B19" s="119">
        <v>12</v>
      </c>
      <c r="C19" s="6" t="s">
        <v>5</v>
      </c>
      <c r="D19" s="129" t="str">
        <f>IF(OR(Vin&lt;3.8,Vin&gt;40),"*"," ")</f>
        <v xml:space="preserve"> </v>
      </c>
      <c r="E19" s="2" t="s">
        <v>6</v>
      </c>
      <c r="F19" s="9">
        <f>(Vout + (Iout*((DCR+Ron_l)/1000)))/(Vin+(Iout*((Ron_l-Ron_u)/1000)))</f>
        <v>0.44068029105529899</v>
      </c>
      <c r="G19" s="6"/>
      <c r="H19" s="10"/>
    </row>
    <row r="20" spans="1:13" ht="13" customHeight="1">
      <c r="A20" s="164" t="str">
        <f>IF(OR(Vout&lt;0.8,Vout&gt;Vin), "Voltage Out of Range", "Ouput Voltage")</f>
        <v>Ouput Voltage</v>
      </c>
      <c r="B20" s="165">
        <v>5</v>
      </c>
      <c r="C20" s="6" t="s">
        <v>5</v>
      </c>
      <c r="E20" s="2" t="s">
        <v>7</v>
      </c>
      <c r="F20" s="11">
        <f>Vout/Iout</f>
        <v>1.4285714285714286</v>
      </c>
      <c r="G20" s="6" t="s">
        <v>8</v>
      </c>
    </row>
    <row r="21" spans="1:13" ht="13" customHeight="1">
      <c r="A21" s="2" t="s">
        <v>9</v>
      </c>
      <c r="B21" s="119">
        <v>3.5</v>
      </c>
      <c r="C21" s="6" t="s">
        <v>10</v>
      </c>
    </row>
    <row r="22" spans="1:13" ht="13" customHeight="1">
      <c r="A22" s="4" t="str">
        <f>IF(AND(OR(B17="AP64351",B17="AP64351Q"),Iout+0.5*Irip&gt;4.25),"Output Current Too High", IF(AND(OR(B17="AP64501",B17="AP64501Q"),Iout+0.5*Irip&gt;6.8),"Output Current Too High", " "))</f>
        <v xml:space="preserve"> </v>
      </c>
      <c r="B22" s="131"/>
      <c r="E22" s="2" t="s">
        <v>11</v>
      </c>
      <c r="F22" s="9">
        <f>Iout*SQRT(D)*SQRT(1+1/3*(Irip/2/Iout)^2)</f>
        <v>2.3369961546673705</v>
      </c>
      <c r="G22" s="6" t="s">
        <v>10</v>
      </c>
    </row>
    <row r="23" spans="1:13" ht="13" customHeight="1">
      <c r="A23" s="13" t="s">
        <v>12</v>
      </c>
      <c r="B23" s="121"/>
      <c r="E23" s="2" t="s">
        <v>13</v>
      </c>
      <c r="F23" s="9">
        <f>Iout*SQRT(1-D)*SQRT(1+1/3*(Irip/2/Iout)^2)</f>
        <v>2.6328507791024576</v>
      </c>
      <c r="G23" s="6" t="s">
        <v>10</v>
      </c>
    </row>
    <row r="24" spans="1:13" ht="13" customHeight="1">
      <c r="A24" s="14" t="s">
        <v>14</v>
      </c>
      <c r="B24" s="122">
        <v>40</v>
      </c>
      <c r="C24" s="15" t="s">
        <v>15</v>
      </c>
      <c r="F24" s="12"/>
    </row>
    <row r="25" spans="1:13" ht="13" customHeight="1">
      <c r="A25" s="14"/>
      <c r="B25" s="123"/>
      <c r="C25" s="14"/>
      <c r="F25" s="12"/>
    </row>
    <row r="26" spans="1:13" ht="13" customHeight="1">
      <c r="A26" s="14" t="s">
        <v>16</v>
      </c>
      <c r="B26" s="124">
        <f>IF(OR(B17="AP64351",B17="AP64351Q"),MAX((((Vin-Vout)*D)/((Fs*10^3)*3.5*(LIR/100)))*10^6,Vout*Dmax*1000000/(0.8*Se*Compensation!C28)),MAX((((Vin-Vout)*D)/((Fs*10^3)*5*(LIR/100)))*10^6,Vout*Dmax*1000000/(0.8*Se*Compensation!C28)))</f>
        <v>3.8656165882043774</v>
      </c>
      <c r="C26" s="15" t="s">
        <v>17</v>
      </c>
      <c r="E26" s="2" t="s">
        <v>18</v>
      </c>
      <c r="F26" s="9">
        <f>(Vin-Vout)*((Vout)/(Vin*Lout*10^(-6)*Fs*10^3))</f>
        <v>1.3120407857249965</v>
      </c>
      <c r="G26" s="6" t="s">
        <v>19</v>
      </c>
      <c r="H26" s="10"/>
      <c r="J26" s="17"/>
      <c r="K26" s="17"/>
      <c r="L26" s="17"/>
      <c r="M26" s="4"/>
    </row>
    <row r="27" spans="1:13" ht="13" customHeight="1">
      <c r="A27" s="2" t="str">
        <f>IF(OR(B17=B17="AP64350",B17="AP64351",B17="AP64352",B17="AP64350Q",B17="AP64351Q",B17="AP64352Q"),"Output Inductor (Isat &gt; 6A)","Output Inductor (Isat &gt; 9A)")</f>
        <v>Output Inductor (Isat &gt; 6A)</v>
      </c>
      <c r="B27" s="119">
        <v>3.9</v>
      </c>
      <c r="C27" s="6" t="s">
        <v>17</v>
      </c>
      <c r="E27" s="2" t="s">
        <v>246</v>
      </c>
      <c r="F27" s="7">
        <f>Irip*ESR/ncap+Irip/(8*Fs*ncap*Cap*0.000001)</f>
        <v>12.871043380430887</v>
      </c>
      <c r="G27" s="6" t="s">
        <v>248</v>
      </c>
      <c r="J27" s="16"/>
      <c r="K27" s="16" t="s">
        <v>32</v>
      </c>
      <c r="L27" s="16" t="s">
        <v>21</v>
      </c>
      <c r="M27" s="4"/>
    </row>
    <row r="28" spans="1:13" ht="13" customHeight="1">
      <c r="A28" s="18" t="s">
        <v>22</v>
      </c>
      <c r="B28" s="125">
        <v>5</v>
      </c>
      <c r="C28" s="6" t="s">
        <v>23</v>
      </c>
      <c r="E28" s="4" t="str">
        <f>IF(Vout*Dmax/(Lout*0.000001)&gt;0.85*Se*Compensation!C28, "Must Increase L", " ")</f>
        <v xml:space="preserve"> </v>
      </c>
      <c r="G28" s="14"/>
      <c r="J28" s="16" t="s">
        <v>24</v>
      </c>
      <c r="K28" s="19">
        <f>B55</f>
        <v>0.53568712989139178</v>
      </c>
      <c r="L28" s="19">
        <f>B56+B57+B58+B59</f>
        <v>0.3268796249918306</v>
      </c>
      <c r="M28" s="4"/>
    </row>
    <row r="29" spans="1:13" ht="13" customHeight="1">
      <c r="A29" s="18"/>
      <c r="B29" s="121"/>
      <c r="E29" s="139" t="s">
        <v>277</v>
      </c>
      <c r="F29" s="8">
        <v>1.99</v>
      </c>
      <c r="G29" s="6" t="str">
        <f>IF(F29&lt;1.9, "Too Low", "ms")</f>
        <v>ms</v>
      </c>
      <c r="J29" s="16" t="s">
        <v>25</v>
      </c>
      <c r="K29" s="19">
        <f>B72</f>
        <v>0.42272875982269698</v>
      </c>
      <c r="L29" s="19">
        <f>B73+B74+B75</f>
        <v>0.12676532902688925</v>
      </c>
      <c r="M29" s="4"/>
    </row>
    <row r="30" spans="1:13" ht="13" customHeight="1">
      <c r="A30" s="13" t="s">
        <v>26</v>
      </c>
      <c r="B30" s="121"/>
      <c r="D30" s="14"/>
      <c r="E30" s="113" t="s">
        <v>249</v>
      </c>
      <c r="F30" s="14"/>
      <c r="G30" s="14"/>
      <c r="J30" s="16" t="s">
        <v>27</v>
      </c>
      <c r="K30" s="16"/>
      <c r="L30" s="19">
        <f>B82+B83</f>
        <v>1.14E-3</v>
      </c>
      <c r="M30" s="4"/>
    </row>
    <row r="31" spans="1:13" ht="13" customHeight="1">
      <c r="A31" s="2" t="s">
        <v>28</v>
      </c>
      <c r="B31" s="125">
        <v>2</v>
      </c>
      <c r="D31" s="14"/>
      <c r="E31" s="118" t="s">
        <v>250</v>
      </c>
      <c r="F31" s="8">
        <v>3.7</v>
      </c>
      <c r="G31" s="6" t="str">
        <f>IF(F31&lt;3.7, "Too Low", "V")</f>
        <v>V</v>
      </c>
      <c r="J31" s="16" t="s">
        <v>20</v>
      </c>
      <c r="K31" s="19">
        <f>B89</f>
        <v>6.4119085039009788E-2</v>
      </c>
      <c r="L31" s="19">
        <f>B88</f>
        <v>1.3754846045381281E-2</v>
      </c>
      <c r="M31" s="4"/>
    </row>
    <row r="32" spans="1:13" ht="13" customHeight="1">
      <c r="A32" s="2" t="s">
        <v>29</v>
      </c>
      <c r="B32" s="125">
        <v>15</v>
      </c>
      <c r="C32" s="6" t="s">
        <v>30</v>
      </c>
      <c r="E32" s="118" t="s">
        <v>252</v>
      </c>
      <c r="F32" s="8">
        <v>3.3</v>
      </c>
      <c r="G32" s="6" t="str">
        <f>IF(F32&lt;3.3,"Too Low", IF(F32&gt;F31, "Too High", "V"))</f>
        <v>V</v>
      </c>
      <c r="J32" s="16" t="s">
        <v>31</v>
      </c>
      <c r="K32" s="95">
        <f>B93</f>
        <v>3.5863562987622214E-4</v>
      </c>
      <c r="L32" s="16"/>
      <c r="M32" s="4"/>
    </row>
    <row r="33" spans="1:13" ht="13" customHeight="1">
      <c r="A33" s="2" t="s">
        <v>33</v>
      </c>
      <c r="B33" s="125">
        <v>5</v>
      </c>
      <c r="C33" s="6" t="s">
        <v>23</v>
      </c>
      <c r="E33" s="118"/>
      <c r="J33" s="4"/>
      <c r="K33" s="4"/>
      <c r="L33" s="4"/>
      <c r="M33" s="4"/>
    </row>
    <row r="34" spans="1:13" ht="13" customHeight="1">
      <c r="B34" s="126"/>
      <c r="E34" s="118" t="s">
        <v>266</v>
      </c>
      <c r="F34" s="130" t="str">
        <f>IF(F31=3.7, "Open",(0.924*F31-F32)/0.0041)</f>
        <v>Open</v>
      </c>
      <c r="G34" s="6" t="s">
        <v>251</v>
      </c>
      <c r="J34" s="4"/>
      <c r="K34" s="4"/>
      <c r="L34" s="4"/>
      <c r="M34" s="4"/>
    </row>
    <row r="35" spans="1:13" ht="13" customHeight="1">
      <c r="A35" s="13" t="s">
        <v>34</v>
      </c>
      <c r="B35" s="127"/>
      <c r="E35" s="118" t="s">
        <v>267</v>
      </c>
      <c r="F35" s="130" t="str">
        <f>IF(F34="Open", "Open", 1.09*F34/(F32-1.09+0.0055*F34))</f>
        <v>Open</v>
      </c>
      <c r="G35" s="6" t="s">
        <v>251</v>
      </c>
      <c r="J35" s="4"/>
      <c r="K35" s="4"/>
      <c r="L35" s="4"/>
      <c r="M35" s="4"/>
    </row>
    <row r="36" spans="1:13" ht="13" customHeight="1">
      <c r="A36" s="2" t="s">
        <v>35</v>
      </c>
      <c r="B36" s="120">
        <f>IF(OR(B17="AP64351",B17="AP64351Q"),80*(1+0.005*(F40+80*0.001*Iout^2*Vout/Vin*F39-25)),45*(1+0.005*(F40+45*0.001*Iout^2*Vout/Vin*F39-25)))</f>
        <v>98.083333333333343</v>
      </c>
      <c r="C36" s="6" t="s">
        <v>23</v>
      </c>
      <c r="E36" s="136" t="s">
        <v>264</v>
      </c>
      <c r="F36" s="137">
        <f>100000/Fs</f>
        <v>175.43859649122808</v>
      </c>
      <c r="G36" s="138" t="s">
        <v>251</v>
      </c>
      <c r="J36" s="4"/>
      <c r="K36" s="4"/>
      <c r="L36" s="4"/>
      <c r="M36" s="4"/>
    </row>
    <row r="37" spans="1:13" ht="13" customHeight="1">
      <c r="B37" s="127"/>
      <c r="E37" s="139" t="s">
        <v>278</v>
      </c>
      <c r="F37" s="130" t="str">
        <f>IF(F29&lt;H37, "Open", IF(OR(B17="AP64351",B17="AP64351Q"), 3.7*F29, 1.27*F29))</f>
        <v>Open</v>
      </c>
      <c r="G37" s="6" t="s">
        <v>50</v>
      </c>
      <c r="H37" s="17">
        <f>IF(OR(B17="AP64351",B17="AP64351Q"),2,4)</f>
        <v>2</v>
      </c>
      <c r="I37" s="17"/>
      <c r="J37" s="17"/>
      <c r="K37" s="17"/>
      <c r="L37" s="17"/>
    </row>
    <row r="38" spans="1:13" ht="13" customHeight="1">
      <c r="A38" s="13" t="s">
        <v>36</v>
      </c>
      <c r="B38" s="126"/>
      <c r="E38" s="10"/>
      <c r="H38" s="17"/>
      <c r="I38" s="17"/>
      <c r="J38" s="17"/>
      <c r="K38" s="17"/>
      <c r="L38" s="17"/>
    </row>
    <row r="39" spans="1:13" ht="13" customHeight="1">
      <c r="A39" s="2" t="s">
        <v>35</v>
      </c>
      <c r="B39" s="120">
        <f>IF(OR(B17="AP64351",B17="AP64351Q"),50*(1+0.005*(F40+50*0.001*Iout^2*(1-Vout/Vin)*F39-25)),20*(1+0.005*(F40+20*0.001*Iout^2*(1-Vout/Vin)*F39-25)))</f>
        <v>60.983072916666671</v>
      </c>
      <c r="C39" s="6" t="s">
        <v>23</v>
      </c>
      <c r="E39" s="117" t="s">
        <v>262</v>
      </c>
      <c r="F39" s="110">
        <v>25</v>
      </c>
      <c r="G39" s="22" t="s">
        <v>37</v>
      </c>
      <c r="H39" s="17"/>
      <c r="I39" s="17" t="s">
        <v>273</v>
      </c>
      <c r="J39" s="17" t="s">
        <v>256</v>
      </c>
      <c r="K39" s="17">
        <v>2</v>
      </c>
      <c r="L39" s="17"/>
    </row>
    <row r="40" spans="1:13" ht="13" customHeight="1">
      <c r="B40" s="126"/>
      <c r="E40" s="21" t="s">
        <v>263</v>
      </c>
      <c r="F40" s="110">
        <v>60</v>
      </c>
      <c r="G40" s="22" t="s">
        <v>38</v>
      </c>
      <c r="H40" s="17"/>
      <c r="I40" s="17" t="s">
        <v>274</v>
      </c>
      <c r="J40" s="17" t="s">
        <v>257</v>
      </c>
      <c r="K40" s="17">
        <v>3.5</v>
      </c>
      <c r="L40" s="17"/>
    </row>
    <row r="41" spans="1:13" ht="13" customHeight="1">
      <c r="A41" s="23" t="s">
        <v>39</v>
      </c>
      <c r="B41" s="128">
        <f>Tloss</f>
        <v>1.5630747748171996</v>
      </c>
      <c r="C41" s="24" t="s">
        <v>40</v>
      </c>
      <c r="E41" s="21" t="s">
        <v>279</v>
      </c>
      <c r="F41" s="25">
        <f>+F40+F39*F42</f>
        <v>95.330021093320212</v>
      </c>
      <c r="G41" s="22" t="str">
        <f>IF(F41&gt;H42,"Thermal too high","°C")</f>
        <v>°C</v>
      </c>
      <c r="H41" s="17"/>
      <c r="I41" s="17" t="s">
        <v>275</v>
      </c>
      <c r="J41" s="17"/>
      <c r="K41" s="17"/>
      <c r="L41" s="17"/>
    </row>
    <row r="42" spans="1:13" ht="13" customHeight="1">
      <c r="A42" s="23" t="s">
        <v>41</v>
      </c>
      <c r="B42" s="128">
        <f>Efficiency</f>
        <v>91.800510708366616</v>
      </c>
      <c r="C42" s="24" t="s">
        <v>15</v>
      </c>
      <c r="E42" s="2" t="s">
        <v>42</v>
      </c>
      <c r="F42" s="26">
        <f>+K28+L28+K29+L29+L30</f>
        <v>1.4132008437328085</v>
      </c>
      <c r="G42" s="27" t="s">
        <v>43</v>
      </c>
      <c r="H42" s="17">
        <f>IF(OR(B17="AP64351Q",B17="AP64501Q"),145,125)</f>
        <v>145</v>
      </c>
      <c r="I42" s="17" t="s">
        <v>276</v>
      </c>
      <c r="J42" s="17"/>
      <c r="K42" s="17"/>
      <c r="L42" s="17"/>
    </row>
    <row r="43" spans="1:13" ht="13" customHeight="1" thickBot="1">
      <c r="A43" s="1"/>
      <c r="B43" s="28"/>
      <c r="C43" s="1"/>
      <c r="D43" s="1"/>
      <c r="E43" s="1"/>
      <c r="F43" s="1"/>
      <c r="G43" s="1"/>
      <c r="H43" s="1"/>
      <c r="I43" s="4"/>
      <c r="J43" s="4"/>
      <c r="K43" s="4"/>
    </row>
    <row r="44" spans="1:13" s="29" customFormat="1" ht="13" customHeight="1">
      <c r="A44" s="2"/>
      <c r="B44" s="20"/>
      <c r="C44" s="2"/>
      <c r="D44" s="2"/>
      <c r="E44" s="2"/>
      <c r="F44" s="2"/>
      <c r="G44" s="2"/>
      <c r="H44" s="17"/>
      <c r="I44" s="4"/>
    </row>
    <row r="45" spans="1:13" s="30" customFormat="1" ht="13" customHeight="1">
      <c r="A45" s="140" t="s">
        <v>34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3" s="30" customFormat="1" ht="13" customHeight="1">
      <c r="A46" s="16" t="s">
        <v>44</v>
      </c>
      <c r="B46" s="141">
        <f>B36</f>
        <v>98.083333333333343</v>
      </c>
      <c r="C46" s="16" t="s">
        <v>23</v>
      </c>
      <c r="D46" s="16"/>
      <c r="E46" s="16"/>
      <c r="F46" s="16"/>
      <c r="G46" s="16"/>
      <c r="H46" s="16"/>
      <c r="I46" s="16"/>
      <c r="J46" s="16"/>
    </row>
    <row r="47" spans="1:13" s="30" customFormat="1" ht="13" customHeight="1">
      <c r="A47" s="16" t="s">
        <v>45</v>
      </c>
      <c r="B47" s="16">
        <v>1.2</v>
      </c>
      <c r="C47" s="16" t="s">
        <v>5</v>
      </c>
      <c r="D47" s="16"/>
      <c r="E47" s="16"/>
      <c r="F47" s="16"/>
      <c r="G47" s="16"/>
      <c r="H47" s="16"/>
      <c r="I47" s="16"/>
      <c r="J47" s="16"/>
    </row>
    <row r="48" spans="1:13" s="30" customFormat="1" ht="13" customHeight="1">
      <c r="A48" s="16" t="s">
        <v>46</v>
      </c>
      <c r="B48" s="16">
        <v>0.3</v>
      </c>
      <c r="C48" s="16" t="s">
        <v>47</v>
      </c>
      <c r="D48" s="16"/>
      <c r="E48" s="16"/>
      <c r="F48" s="16"/>
      <c r="G48" s="16"/>
      <c r="H48" s="16"/>
      <c r="I48" s="16"/>
      <c r="J48" s="16"/>
    </row>
    <row r="49" spans="1:10" s="30" customFormat="1" ht="13" customHeight="1">
      <c r="A49" s="16" t="s">
        <v>48</v>
      </c>
      <c r="B49" s="16">
        <v>0.2</v>
      </c>
      <c r="C49" s="16" t="s">
        <v>47</v>
      </c>
      <c r="D49" s="16"/>
      <c r="E49" s="16"/>
      <c r="F49" s="16"/>
      <c r="G49" s="16"/>
      <c r="H49" s="16"/>
      <c r="I49" s="16"/>
      <c r="J49"/>
    </row>
    <row r="50" spans="1:10" s="30" customFormat="1" ht="13" customHeight="1">
      <c r="A50" s="16" t="s">
        <v>49</v>
      </c>
      <c r="B50" s="142">
        <f>+E50/Ron_u</f>
        <v>0.30586236193712824</v>
      </c>
      <c r="C50" s="16" t="s">
        <v>50</v>
      </c>
      <c r="D50" s="16" t="s">
        <v>51</v>
      </c>
      <c r="E50" s="96">
        <v>30</v>
      </c>
      <c r="F50" s="16" t="s">
        <v>52</v>
      </c>
      <c r="G50" s="16"/>
      <c r="H50" s="16"/>
      <c r="I50" s="16"/>
      <c r="J50" s="16"/>
    </row>
    <row r="51" spans="1:10" s="30" customFormat="1" ht="13" customHeight="1">
      <c r="A51" s="16" t="s">
        <v>53</v>
      </c>
      <c r="B51" s="143">
        <f>+E51/Ron_u</f>
        <v>0.20390824129141885</v>
      </c>
      <c r="C51" s="16" t="s">
        <v>50</v>
      </c>
      <c r="D51" s="16" t="s">
        <v>54</v>
      </c>
      <c r="E51" s="96">
        <v>20</v>
      </c>
      <c r="F51" s="16" t="s">
        <v>52</v>
      </c>
      <c r="G51" s="16"/>
      <c r="H51" s="16"/>
      <c r="I51" s="16"/>
      <c r="J51" s="16"/>
    </row>
    <row r="52" spans="1:10" s="30" customFormat="1" ht="13" customHeight="1">
      <c r="A52" s="16" t="s">
        <v>55</v>
      </c>
      <c r="B52" s="16">
        <v>15</v>
      </c>
      <c r="C52" s="16" t="s">
        <v>4</v>
      </c>
      <c r="D52" s="16" t="s">
        <v>56</v>
      </c>
      <c r="E52" s="16"/>
      <c r="F52" s="16"/>
      <c r="G52" s="16"/>
      <c r="H52" s="16"/>
      <c r="I52" s="16"/>
      <c r="J52" s="16"/>
    </row>
    <row r="53" spans="1:10" s="30" customFormat="1" ht="13" customHeight="1">
      <c r="A53" s="31" t="s">
        <v>57</v>
      </c>
      <c r="B53" s="16">
        <v>12</v>
      </c>
      <c r="C53" s="31" t="s">
        <v>4</v>
      </c>
      <c r="D53" s="16" t="s">
        <v>58</v>
      </c>
      <c r="E53" s="16"/>
      <c r="F53" s="16"/>
      <c r="G53" s="16"/>
      <c r="H53" s="16"/>
      <c r="I53" s="16"/>
      <c r="J53" s="16"/>
    </row>
    <row r="54" spans="1:10" s="32" customFormat="1" ht="13" customHeight="1">
      <c r="A54" s="144" t="s">
        <v>59</v>
      </c>
      <c r="B54" s="145">
        <v>1</v>
      </c>
      <c r="C54" s="31"/>
      <c r="D54" s="31" t="s">
        <v>60</v>
      </c>
      <c r="E54" s="31"/>
      <c r="F54" s="31"/>
      <c r="G54" s="31"/>
      <c r="H54" s="31"/>
      <c r="I54" s="31"/>
      <c r="J54" s="31"/>
    </row>
    <row r="55" spans="1:10" s="30" customFormat="1" ht="13" customHeight="1">
      <c r="A55" s="16" t="s">
        <v>61</v>
      </c>
      <c r="B55" s="19">
        <f>Iu_rms^2*B46/B54/1000</f>
        <v>0.53568712989139178</v>
      </c>
      <c r="C55" s="16" t="s">
        <v>43</v>
      </c>
      <c r="D55" s="16" t="s">
        <v>62</v>
      </c>
      <c r="E55" s="16"/>
      <c r="F55" s="16"/>
      <c r="G55" s="16"/>
      <c r="H55" s="16"/>
      <c r="I55" s="16"/>
      <c r="J55" s="16"/>
    </row>
    <row r="56" spans="1:10" s="30" customFormat="1" ht="13" customHeight="1">
      <c r="A56" s="16" t="s">
        <v>63</v>
      </c>
      <c r="B56" s="19">
        <f>Vin*(Iout-0.5*Irip)*B52*10^(-9)*Fs*10^(3)/2</f>
        <v>0.14589615384615384</v>
      </c>
      <c r="C56" s="16" t="s">
        <v>43</v>
      </c>
      <c r="D56" s="16" t="s">
        <v>64</v>
      </c>
      <c r="E56" s="16"/>
      <c r="F56" s="16"/>
      <c r="G56" s="16"/>
      <c r="H56" s="16"/>
      <c r="I56" s="16"/>
      <c r="J56" s="16"/>
    </row>
    <row r="57" spans="1:10" s="30" customFormat="1" ht="13" customHeight="1">
      <c r="A57" s="16" t="s">
        <v>65</v>
      </c>
      <c r="B57" s="19">
        <f>Vin*(Iout+0.5*Irip)*B53*10^(-9)*Fs*10^(3)/2</f>
        <v>0.17056307692307693</v>
      </c>
      <c r="C57" s="16" t="s">
        <v>43</v>
      </c>
      <c r="D57" s="16" t="s">
        <v>66</v>
      </c>
      <c r="E57" s="16"/>
      <c r="F57" s="16"/>
      <c r="G57" s="16"/>
      <c r="H57" s="16"/>
      <c r="I57" s="16"/>
      <c r="J57" s="16"/>
    </row>
    <row r="58" spans="1:10" s="30" customFormat="1" ht="13" customHeight="1">
      <c r="A58" s="16" t="s">
        <v>67</v>
      </c>
      <c r="B58" s="19">
        <f>Vin*Fs*10^3*B48*10^(-9)*B54</f>
        <v>2.052E-3</v>
      </c>
      <c r="C58" s="16" t="s">
        <v>43</v>
      </c>
      <c r="D58" s="16" t="s">
        <v>68</v>
      </c>
      <c r="E58" s="16"/>
      <c r="F58" s="16"/>
      <c r="G58" s="16"/>
      <c r="H58" s="16"/>
      <c r="I58" s="16"/>
      <c r="J58" s="16"/>
    </row>
    <row r="59" spans="1:10" s="30" customFormat="1" ht="13" customHeight="1">
      <c r="A59" s="16" t="s">
        <v>69</v>
      </c>
      <c r="B59" s="19">
        <f>0.5*B51*10^(-9)*Vin^2*Fs*10^3*B54</f>
        <v>8.3683942225998304E-3</v>
      </c>
      <c r="C59" s="16" t="s">
        <v>43</v>
      </c>
      <c r="D59" s="16" t="s">
        <v>70</v>
      </c>
      <c r="E59" s="16"/>
      <c r="F59" s="16"/>
      <c r="G59" s="16"/>
      <c r="H59" s="16"/>
      <c r="I59" s="16"/>
      <c r="J59" s="16"/>
    </row>
    <row r="60" spans="1:10" s="30" customFormat="1" ht="13" customHeight="1">
      <c r="A60" s="16" t="s">
        <v>71</v>
      </c>
      <c r="B60" s="19">
        <f>SUM(B55:B59)</f>
        <v>0.86256675488322243</v>
      </c>
      <c r="C60" s="16" t="s">
        <v>43</v>
      </c>
      <c r="D60" s="16" t="s">
        <v>72</v>
      </c>
      <c r="E60" s="16"/>
      <c r="F60" s="16"/>
      <c r="G60" s="16"/>
      <c r="H60" s="16"/>
      <c r="I60" s="16"/>
      <c r="J60" s="19"/>
    </row>
    <row r="61" spans="1:10" s="30" customFormat="1" ht="13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s="30" customFormat="1" ht="13" customHeight="1">
      <c r="A62" s="140" t="s">
        <v>36</v>
      </c>
      <c r="B62" s="16"/>
      <c r="C62" s="16"/>
      <c r="D62" s="16"/>
      <c r="E62" s="16"/>
      <c r="F62" s="16"/>
      <c r="G62" s="16"/>
      <c r="H62" s="16"/>
      <c r="I62" s="16"/>
      <c r="J62" s="16"/>
    </row>
    <row r="63" spans="1:10" s="30" customFormat="1" ht="13" customHeight="1">
      <c r="A63" s="16" t="s">
        <v>44</v>
      </c>
      <c r="B63" s="141">
        <f>B39</f>
        <v>60.983072916666671</v>
      </c>
      <c r="C63" s="16" t="s">
        <v>23</v>
      </c>
      <c r="D63" s="16"/>
      <c r="E63" s="16"/>
      <c r="F63" s="16"/>
      <c r="G63" s="16"/>
      <c r="H63" s="16"/>
      <c r="I63" s="16"/>
      <c r="J63" s="16"/>
    </row>
    <row r="64" spans="1:10" s="30" customFormat="1" ht="13" customHeight="1">
      <c r="A64" s="16" t="s">
        <v>45</v>
      </c>
      <c r="B64" s="16">
        <v>1.2</v>
      </c>
      <c r="C64" s="16" t="s">
        <v>5</v>
      </c>
      <c r="D64" s="16"/>
      <c r="E64" s="16"/>
      <c r="F64" s="16"/>
      <c r="G64" s="16"/>
      <c r="H64" s="16"/>
      <c r="I64" s="16"/>
      <c r="J64" s="16"/>
    </row>
    <row r="65" spans="1:10" s="30" customFormat="1" ht="13" customHeight="1">
      <c r="A65" s="16" t="s">
        <v>46</v>
      </c>
      <c r="B65" s="16">
        <v>0.3</v>
      </c>
      <c r="C65" s="16" t="s">
        <v>47</v>
      </c>
      <c r="D65" s="16"/>
      <c r="E65" s="16"/>
      <c r="F65" s="16"/>
      <c r="G65" s="16"/>
      <c r="H65" s="16"/>
      <c r="I65" s="16"/>
      <c r="J65" s="16"/>
    </row>
    <row r="66" spans="1:10" s="30" customFormat="1" ht="13" customHeight="1">
      <c r="A66" s="16" t="s">
        <v>48</v>
      </c>
      <c r="B66" s="16">
        <v>0.2</v>
      </c>
      <c r="C66" s="16" t="s">
        <v>47</v>
      </c>
      <c r="D66" s="16"/>
      <c r="E66" s="16"/>
      <c r="F66" s="16"/>
      <c r="G66" s="16"/>
      <c r="H66" s="16"/>
      <c r="I66" s="16"/>
      <c r="J66" s="16"/>
    </row>
    <row r="67" spans="1:10" s="30" customFormat="1" ht="13" customHeight="1">
      <c r="A67" s="16" t="s">
        <v>49</v>
      </c>
      <c r="B67" s="146">
        <f>+E67/Ron_l</f>
        <v>0.49193978861962206</v>
      </c>
      <c r="C67" s="16" t="s">
        <v>50</v>
      </c>
      <c r="D67" s="16" t="s">
        <v>51</v>
      </c>
      <c r="E67" s="96">
        <v>30</v>
      </c>
      <c r="F67" s="16" t="s">
        <v>52</v>
      </c>
      <c r="G67" s="16"/>
      <c r="H67" s="16"/>
      <c r="I67" s="16"/>
      <c r="J67" s="16"/>
    </row>
    <row r="68" spans="1:10" s="30" customFormat="1" ht="13" customHeight="1">
      <c r="A68" s="16" t="s">
        <v>53</v>
      </c>
      <c r="B68" s="143">
        <f>+E68/Ron_l</f>
        <v>0.32795985907974801</v>
      </c>
      <c r="C68" s="16" t="s">
        <v>50</v>
      </c>
      <c r="D68" s="16" t="s">
        <v>54</v>
      </c>
      <c r="E68" s="96">
        <v>20</v>
      </c>
      <c r="F68" s="16" t="s">
        <v>52</v>
      </c>
      <c r="G68" s="16"/>
      <c r="H68" s="16"/>
      <c r="I68" s="16"/>
      <c r="J68" s="16"/>
    </row>
    <row r="69" spans="1:10" s="30" customFormat="1" ht="13" customHeight="1">
      <c r="A69" s="16" t="s">
        <v>73</v>
      </c>
      <c r="B69" s="16">
        <v>20.2</v>
      </c>
      <c r="C69" s="16" t="s">
        <v>4</v>
      </c>
      <c r="D69" s="16" t="s">
        <v>74</v>
      </c>
      <c r="E69" s="16"/>
      <c r="F69" s="16"/>
      <c r="G69" s="16"/>
      <c r="H69" s="16"/>
      <c r="I69" s="16"/>
      <c r="J69" s="16"/>
    </row>
    <row r="70" spans="1:10" s="30" customFormat="1" ht="13" customHeight="1">
      <c r="A70" s="31" t="s">
        <v>75</v>
      </c>
      <c r="B70" s="31">
        <v>28.2</v>
      </c>
      <c r="C70" s="31" t="s">
        <v>4</v>
      </c>
      <c r="D70" s="16" t="s">
        <v>76</v>
      </c>
      <c r="E70" s="16"/>
      <c r="F70" s="16"/>
      <c r="G70" s="16"/>
      <c r="H70" s="16"/>
      <c r="I70" s="16"/>
      <c r="J70" s="16"/>
    </row>
    <row r="71" spans="1:10" s="32" customFormat="1" ht="13" customHeight="1">
      <c r="A71" s="31" t="s">
        <v>59</v>
      </c>
      <c r="B71" s="145">
        <v>1</v>
      </c>
      <c r="C71" s="31"/>
      <c r="D71" s="31" t="s">
        <v>77</v>
      </c>
      <c r="E71" s="31"/>
      <c r="F71" s="31"/>
      <c r="G71" s="31"/>
      <c r="H71" s="31"/>
      <c r="I71" s="31"/>
      <c r="J71" s="31"/>
    </row>
    <row r="72" spans="1:10" s="30" customFormat="1" ht="13" customHeight="1">
      <c r="A72" s="16" t="s">
        <v>61</v>
      </c>
      <c r="B72" s="19">
        <f>Il_rms^2*B63/1000/B71</f>
        <v>0.42272875982269698</v>
      </c>
      <c r="C72" s="16" t="s">
        <v>43</v>
      </c>
      <c r="D72" s="16" t="s">
        <v>78</v>
      </c>
      <c r="E72" s="16"/>
      <c r="F72" s="16"/>
      <c r="G72" s="16"/>
      <c r="H72" s="16"/>
      <c r="I72" s="16"/>
      <c r="J72" s="16"/>
    </row>
    <row r="73" spans="1:10" s="30" customFormat="1" ht="12.75" customHeight="1">
      <c r="A73" s="16" t="s">
        <v>67</v>
      </c>
      <c r="B73" s="19">
        <f>B64*Fs*10^(-6)*((Iout+0.5*Irip)*B69+(Iout-0.5*Irip)*B70)</f>
        <v>0.11227985641025638</v>
      </c>
      <c r="C73" s="16" t="s">
        <v>43</v>
      </c>
      <c r="D73" s="16" t="s">
        <v>79</v>
      </c>
      <c r="E73" s="16"/>
      <c r="F73" s="16"/>
      <c r="G73" s="16"/>
      <c r="H73" s="16"/>
      <c r="I73" s="16"/>
      <c r="J73" s="16"/>
    </row>
    <row r="74" spans="1:10" s="30" customFormat="1" ht="13" customHeight="1">
      <c r="A74" s="16" t="s">
        <v>80</v>
      </c>
      <c r="B74" s="19">
        <f>0.5*B65*Vin* Fs*10^(-6)*B71</f>
        <v>1.026E-3</v>
      </c>
      <c r="C74" s="16" t="s">
        <v>43</v>
      </c>
      <c r="D74" s="16" t="s">
        <v>243</v>
      </c>
      <c r="E74" s="16"/>
      <c r="F74" s="16"/>
      <c r="G74" s="16"/>
      <c r="H74" s="16"/>
      <c r="I74" s="16"/>
      <c r="J74" s="16"/>
    </row>
    <row r="75" spans="1:10" s="30" customFormat="1" ht="13" customHeight="1">
      <c r="A75" s="16" t="s">
        <v>69</v>
      </c>
      <c r="B75" s="19">
        <f>B68*10^(-9)*B71*Vin^2*Fs*1000/2</f>
        <v>1.3459472616632859E-2</v>
      </c>
      <c r="C75" s="16" t="s">
        <v>43</v>
      </c>
      <c r="D75" s="16" t="s">
        <v>70</v>
      </c>
      <c r="E75" s="16"/>
      <c r="F75" s="16"/>
      <c r="G75" s="16"/>
      <c r="H75" s="16"/>
      <c r="I75" s="16"/>
      <c r="J75" s="16"/>
    </row>
    <row r="76" spans="1:10" s="30" customFormat="1" ht="13" customHeight="1">
      <c r="A76" s="16" t="s">
        <v>81</v>
      </c>
      <c r="B76" s="19">
        <f>B72+B73+B74+B75</f>
        <v>0.54949408884958617</v>
      </c>
      <c r="C76" s="16" t="s">
        <v>43</v>
      </c>
      <c r="D76" s="16" t="s">
        <v>82</v>
      </c>
      <c r="E76" s="16"/>
      <c r="F76" s="16"/>
      <c r="G76" s="16"/>
      <c r="H76" s="16"/>
      <c r="I76" s="16"/>
      <c r="J76" s="16"/>
    </row>
    <row r="77" spans="1:10" s="30" customFormat="1" ht="13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s="30" customFormat="1" ht="13" customHeight="1">
      <c r="A78" s="147" t="s">
        <v>83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s="30" customFormat="1" ht="13" customHeight="1">
      <c r="A79" s="16" t="s">
        <v>84</v>
      </c>
      <c r="B79" s="16">
        <f>IF(Vin&lt;5.7, Vin, 5)</f>
        <v>5</v>
      </c>
      <c r="C79" s="16" t="s">
        <v>5</v>
      </c>
      <c r="D79" s="16"/>
      <c r="E79" s="16"/>
      <c r="F79" s="16"/>
      <c r="G79" s="16"/>
      <c r="H79" s="16"/>
      <c r="I79" s="16"/>
      <c r="J79" s="16"/>
    </row>
    <row r="80" spans="1:10" s="32" customFormat="1" ht="13" customHeight="1">
      <c r="A80" s="31" t="s">
        <v>85</v>
      </c>
      <c r="B80" s="16">
        <f>IF(Vin&lt;5.7, Vin, 5)</f>
        <v>5</v>
      </c>
      <c r="C80" s="31" t="s">
        <v>5</v>
      </c>
      <c r="D80" s="31"/>
      <c r="E80" s="31"/>
      <c r="F80" s="31"/>
      <c r="G80" s="31"/>
      <c r="H80" s="31"/>
      <c r="I80" s="31"/>
      <c r="J80" s="31"/>
    </row>
    <row r="81" spans="1:10" s="32" customFormat="1" ht="13" customHeight="1">
      <c r="A81" s="31" t="s">
        <v>86</v>
      </c>
      <c r="B81" s="31">
        <v>6</v>
      </c>
      <c r="C81" s="31" t="s">
        <v>87</v>
      </c>
      <c r="D81" s="31" t="s">
        <v>88</v>
      </c>
      <c r="E81" s="31"/>
      <c r="F81" s="31"/>
      <c r="G81" s="31"/>
      <c r="H81" s="31"/>
      <c r="I81" s="31"/>
      <c r="J81" s="31"/>
    </row>
    <row r="82" spans="1:10" s="30" customFormat="1" ht="13" customHeight="1">
      <c r="A82" s="16" t="s">
        <v>89</v>
      </c>
      <c r="B82" s="19">
        <f>Fs*B79*B49*10^(-6)*B54</f>
        <v>5.6999999999999998E-4</v>
      </c>
      <c r="C82" s="16" t="s">
        <v>43</v>
      </c>
      <c r="D82" s="16" t="s">
        <v>90</v>
      </c>
      <c r="E82" s="16"/>
      <c r="F82" s="16"/>
      <c r="G82" s="16"/>
      <c r="H82" s="16"/>
      <c r="I82" s="16"/>
      <c r="J82" s="16"/>
    </row>
    <row r="83" spans="1:10" s="30" customFormat="1" ht="13" customHeight="1">
      <c r="A83" s="16" t="s">
        <v>91</v>
      </c>
      <c r="B83" s="19">
        <f>Fs*B80*B66*10^(-6)*B71</f>
        <v>5.6999999999999998E-4</v>
      </c>
      <c r="C83" s="16" t="s">
        <v>43</v>
      </c>
      <c r="D83" s="16" t="s">
        <v>92</v>
      </c>
      <c r="E83" s="16"/>
      <c r="F83" s="16"/>
      <c r="G83" s="16"/>
      <c r="H83" s="16"/>
      <c r="I83" s="16"/>
      <c r="J83" s="16"/>
    </row>
    <row r="84" spans="1:10" s="30" customFormat="1" ht="13" customHeight="1">
      <c r="A84" s="148" t="s">
        <v>93</v>
      </c>
      <c r="B84" s="149">
        <f>+(Vin-B80)*B81/1000</f>
        <v>4.2000000000000003E-2</v>
      </c>
      <c r="C84" s="148" t="s">
        <v>43</v>
      </c>
      <c r="D84" s="148" t="s">
        <v>94</v>
      </c>
      <c r="E84" s="148"/>
      <c r="F84" s="16"/>
      <c r="G84" s="16"/>
      <c r="H84" s="16"/>
      <c r="I84" s="16"/>
      <c r="J84" s="16"/>
    </row>
    <row r="85" spans="1:10" s="30" customFormat="1" ht="13" customHeight="1">
      <c r="A85" s="16" t="s">
        <v>95</v>
      </c>
      <c r="B85" s="19">
        <f>B82+B83+B84+B81*B80*0.001</f>
        <v>7.3140000000000011E-2</v>
      </c>
      <c r="C85" s="16" t="s">
        <v>43</v>
      </c>
      <c r="D85" s="16" t="s">
        <v>96</v>
      </c>
      <c r="E85" s="16"/>
      <c r="F85" s="16"/>
      <c r="G85" s="16"/>
      <c r="H85" s="16"/>
      <c r="I85" s="16"/>
      <c r="J85" s="16"/>
    </row>
    <row r="86" spans="1:10" s="30" customFormat="1" ht="13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s="30" customFormat="1" ht="13" customHeight="1">
      <c r="A87" s="147" t="s">
        <v>97</v>
      </c>
      <c r="B87" s="16"/>
      <c r="C87" s="16"/>
      <c r="D87" s="16"/>
      <c r="E87" s="16"/>
      <c r="F87" s="16"/>
      <c r="G87" s="16"/>
      <c r="H87" s="16"/>
      <c r="I87" s="16"/>
      <c r="J87" s="16"/>
    </row>
    <row r="88" spans="1:10" s="30" customFormat="1" ht="13" customHeight="1">
      <c r="A88" s="16" t="s">
        <v>98</v>
      </c>
      <c r="B88" s="19">
        <f>0.7*10^(-9)*(Fs)^1.35*(57.8*0.5*Irip)^2.263</f>
        <v>1.3754846045381281E-2</v>
      </c>
      <c r="C88" s="16" t="s">
        <v>43</v>
      </c>
      <c r="D88" s="16" t="s">
        <v>99</v>
      </c>
      <c r="E88" s="16"/>
      <c r="F88" s="16"/>
      <c r="G88" s="16"/>
      <c r="H88" s="16"/>
      <c r="I88" s="16"/>
      <c r="J88" s="16"/>
    </row>
    <row r="89" spans="1:10" s="30" customFormat="1" ht="13" customHeight="1">
      <c r="A89" s="16" t="s">
        <v>100</v>
      </c>
      <c r="B89" s="19">
        <f>DCR/1000*(Iout*SQRT(1+1/3*(Irip/Iout)^2))^2</f>
        <v>6.4119085039009788E-2</v>
      </c>
      <c r="C89" s="16" t="s">
        <v>43</v>
      </c>
      <c r="D89" s="16" t="s">
        <v>101</v>
      </c>
      <c r="E89" s="16"/>
      <c r="F89" s="16"/>
      <c r="G89" s="16"/>
      <c r="H89" s="16"/>
      <c r="I89" s="16"/>
      <c r="J89" s="16"/>
    </row>
    <row r="90" spans="1:10" s="30" customFormat="1" ht="13" customHeight="1">
      <c r="A90" s="16" t="s">
        <v>102</v>
      </c>
      <c r="B90" s="19">
        <f>B88+B89</f>
        <v>7.7873931084391071E-2</v>
      </c>
      <c r="C90" s="16" t="s">
        <v>43</v>
      </c>
      <c r="D90" s="16" t="s">
        <v>103</v>
      </c>
      <c r="E90" s="16"/>
      <c r="F90" s="16"/>
      <c r="G90" s="16"/>
      <c r="H90" s="16"/>
      <c r="I90" s="16"/>
      <c r="J90" s="16"/>
    </row>
    <row r="91" spans="1:10" s="30" customFormat="1" ht="13" customHeight="1">
      <c r="A91" s="16"/>
      <c r="B91" s="19"/>
      <c r="C91" s="16"/>
      <c r="D91" s="16"/>
      <c r="E91" s="16"/>
      <c r="F91" s="16"/>
      <c r="G91" s="16"/>
      <c r="H91" s="16"/>
      <c r="I91" s="16"/>
      <c r="J91" s="16"/>
    </row>
    <row r="92" spans="1:10" s="30" customFormat="1" ht="13" customHeight="1">
      <c r="A92" s="147" t="s">
        <v>104</v>
      </c>
      <c r="B92" s="16"/>
      <c r="C92" s="16"/>
      <c r="D92" s="16"/>
      <c r="E92" s="16"/>
      <c r="F92" s="16"/>
      <c r="G92" s="16"/>
      <c r="H92" s="16"/>
      <c r="I92" s="16"/>
      <c r="J92" s="16"/>
    </row>
    <row r="93" spans="1:10" s="30" customFormat="1" ht="13" customHeight="1">
      <c r="A93" s="16" t="s">
        <v>105</v>
      </c>
      <c r="B93" s="150">
        <f>(0.5*Irip/SQRT(3))^2*B33/B31/1000</f>
        <v>3.5863562987622214E-4</v>
      </c>
      <c r="C93" s="16" t="s">
        <v>43</v>
      </c>
      <c r="D93" s="16" t="s">
        <v>106</v>
      </c>
      <c r="E93" s="16"/>
      <c r="F93" s="16"/>
      <c r="G93" s="16"/>
      <c r="H93" s="16"/>
      <c r="I93" s="16"/>
      <c r="J93" s="16"/>
    </row>
    <row r="94" spans="1:10" s="30" customFormat="1" ht="13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s="30" customFormat="1" ht="13" customHeight="1">
      <c r="A95" s="140" t="s">
        <v>39</v>
      </c>
      <c r="B95" s="151">
        <f>B85+B76+B60+B90</f>
        <v>1.5630747748171996</v>
      </c>
      <c r="C95" s="147" t="s">
        <v>43</v>
      </c>
      <c r="D95" s="16"/>
      <c r="E95" s="16"/>
      <c r="F95" s="16"/>
      <c r="G95" s="16"/>
      <c r="H95" s="16"/>
      <c r="I95" s="16"/>
      <c r="J95" s="16"/>
    </row>
    <row r="96" spans="1:10" s="30" customFormat="1" ht="13" customHeight="1">
      <c r="A96" s="140" t="s">
        <v>41</v>
      </c>
      <c r="B96" s="151">
        <f>Vout*Iout/(Vout*Iout+B95)*100</f>
        <v>91.800510708366616</v>
      </c>
      <c r="C96" s="147" t="s">
        <v>15</v>
      </c>
      <c r="D96" s="16"/>
      <c r="E96" s="16"/>
      <c r="F96" s="16"/>
      <c r="G96" s="16"/>
      <c r="H96" s="16"/>
      <c r="I96" s="16"/>
      <c r="J96" s="16"/>
    </row>
    <row r="97" spans="1:10" s="29" customFormat="1" ht="13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ht="13" customHeight="1">
      <c r="A98" s="4"/>
      <c r="B98" s="4"/>
      <c r="C98" s="4"/>
      <c r="D98" s="4"/>
      <c r="E98" s="4"/>
      <c r="F98" s="4"/>
      <c r="G98" s="4"/>
      <c r="H98" s="17"/>
      <c r="I98" s="17"/>
      <c r="J98" s="17"/>
    </row>
    <row r="99" spans="1:10" ht="13" customHeight="1">
      <c r="A99" s="4"/>
      <c r="B99" s="4"/>
      <c r="C99" s="4"/>
      <c r="D99" s="4"/>
      <c r="E99" s="4"/>
      <c r="F99" s="4"/>
      <c r="G99" s="4"/>
      <c r="H99" s="17"/>
      <c r="I99" s="17"/>
      <c r="J99" s="17"/>
    </row>
    <row r="100" spans="1:10" ht="13" customHeight="1">
      <c r="A100" s="4"/>
      <c r="B100" s="33"/>
      <c r="C100" s="4"/>
      <c r="D100" s="4"/>
      <c r="E100" s="4"/>
      <c r="F100" s="4"/>
      <c r="G100" s="4"/>
      <c r="H100" s="17"/>
      <c r="I100" s="17"/>
      <c r="J100" s="17"/>
    </row>
    <row r="101" spans="1:10" ht="13" customHeight="1">
      <c r="A101" s="4"/>
      <c r="B101" s="4"/>
      <c r="C101" s="4"/>
      <c r="D101" s="4"/>
      <c r="E101" s="4"/>
      <c r="F101" s="4"/>
      <c r="G101" s="4"/>
      <c r="H101" s="17"/>
      <c r="I101" s="17"/>
      <c r="J101" s="17"/>
    </row>
    <row r="102" spans="1:10" ht="13" customHeight="1">
      <c r="A102" s="4"/>
      <c r="B102" s="4"/>
      <c r="C102" s="4"/>
      <c r="D102" s="4"/>
      <c r="E102" s="4"/>
      <c r="F102" s="4"/>
      <c r="G102" s="4"/>
      <c r="H102" s="17"/>
      <c r="I102" s="17"/>
      <c r="J102" s="17"/>
    </row>
    <row r="103" spans="1:10" ht="13" customHeight="1">
      <c r="A103" s="4"/>
      <c r="B103" s="4"/>
      <c r="C103" s="4"/>
      <c r="D103" s="4"/>
      <c r="E103" s="4"/>
      <c r="F103" s="4"/>
      <c r="G103" s="4"/>
      <c r="H103" s="17"/>
      <c r="I103" s="17"/>
      <c r="J103" s="17"/>
    </row>
    <row r="104" spans="1:10" ht="13" customHeight="1">
      <c r="A104" s="4"/>
      <c r="B104" s="4"/>
      <c r="C104" s="4"/>
      <c r="D104" s="4"/>
      <c r="E104" s="4"/>
      <c r="F104" s="4"/>
      <c r="G104" s="4"/>
      <c r="H104" s="17"/>
      <c r="I104" s="17"/>
      <c r="J104" s="17"/>
    </row>
    <row r="105" spans="1:10" ht="13" customHeight="1">
      <c r="A105" s="4"/>
      <c r="B105" s="4"/>
      <c r="C105" s="4"/>
      <c r="D105" s="4"/>
      <c r="E105" s="4"/>
      <c r="F105" s="4"/>
      <c r="G105" s="4"/>
      <c r="H105" s="17"/>
      <c r="I105" s="17"/>
      <c r="J105" s="17"/>
    </row>
    <row r="106" spans="1:10" ht="13" customHeight="1">
      <c r="A106" s="4"/>
      <c r="B106" s="4"/>
      <c r="C106" s="4"/>
      <c r="D106" s="4"/>
      <c r="E106" s="4"/>
      <c r="F106" s="4"/>
      <c r="G106" s="4"/>
      <c r="H106" s="17"/>
    </row>
    <row r="107" spans="1:10" ht="13" customHeight="1">
      <c r="A107" s="4"/>
      <c r="B107" s="4"/>
      <c r="C107" s="4"/>
      <c r="D107" s="4"/>
      <c r="E107" s="4"/>
      <c r="F107" s="4"/>
      <c r="G107" s="4"/>
    </row>
    <row r="108" spans="1:10" ht="13" customHeight="1">
      <c r="A108" s="4"/>
      <c r="B108" s="4"/>
      <c r="C108" s="4"/>
      <c r="D108" s="4"/>
      <c r="E108" s="4"/>
      <c r="F108" s="4"/>
      <c r="G108" s="4"/>
    </row>
    <row r="109" spans="1:10" ht="13" customHeight="1">
      <c r="A109" s="4"/>
      <c r="B109" s="4"/>
      <c r="C109" s="4"/>
      <c r="D109" s="4"/>
      <c r="E109" s="4"/>
      <c r="F109" s="4"/>
      <c r="G109" s="4"/>
    </row>
    <row r="110" spans="1:10" ht="13" customHeight="1">
      <c r="A110" s="4"/>
      <c r="B110" s="4"/>
      <c r="C110" s="4"/>
      <c r="D110" s="4"/>
      <c r="E110" s="4"/>
      <c r="F110" s="4"/>
      <c r="G110" s="4"/>
    </row>
    <row r="111" spans="1:10" ht="13" customHeight="1">
      <c r="A111" s="4"/>
      <c r="B111" s="4"/>
      <c r="C111" s="4"/>
      <c r="D111" s="4"/>
      <c r="E111" s="4"/>
      <c r="F111" s="4"/>
      <c r="G111" s="4"/>
    </row>
    <row r="112" spans="1:10" ht="13" customHeight="1">
      <c r="A112" s="4"/>
      <c r="B112" s="4"/>
      <c r="C112" s="4"/>
      <c r="D112" s="4"/>
      <c r="E112" s="4"/>
      <c r="F112" s="4"/>
      <c r="G112" s="4"/>
    </row>
    <row r="113" spans="1:7" ht="13" customHeight="1">
      <c r="A113" s="4"/>
      <c r="B113" s="4"/>
      <c r="C113" s="4"/>
      <c r="D113" s="4"/>
      <c r="E113" s="4"/>
      <c r="F113" s="4"/>
      <c r="G113" s="4"/>
    </row>
    <row r="114" spans="1:7" ht="13" customHeight="1">
      <c r="A114" s="4"/>
      <c r="B114" s="4"/>
      <c r="C114" s="4"/>
      <c r="D114" s="4"/>
      <c r="E114" s="4"/>
      <c r="F114" s="4"/>
      <c r="G114" s="4"/>
    </row>
    <row r="115" spans="1:7" ht="13" customHeight="1">
      <c r="A115" s="4"/>
      <c r="B115" s="4"/>
      <c r="C115" s="4"/>
      <c r="D115" s="4"/>
      <c r="E115" s="4"/>
      <c r="F115" s="4"/>
      <c r="G115" s="4"/>
    </row>
    <row r="116" spans="1:7" ht="13" customHeight="1">
      <c r="A116" s="4"/>
      <c r="B116" s="4"/>
      <c r="C116" s="4"/>
      <c r="D116" s="4"/>
      <c r="E116" s="4"/>
      <c r="F116" s="4"/>
      <c r="G116" s="4"/>
    </row>
    <row r="117" spans="1:7" ht="13" customHeight="1"/>
    <row r="118" spans="1:7" ht="13" customHeight="1"/>
  </sheetData>
  <sheetProtection password="C6F9" sheet="1" objects="1" scenarios="1" selectLockedCells="1"/>
  <conditionalFormatting sqref="A19">
    <cfRule type="containsText" dxfId="5" priority="4" operator="containsText" text="Input Voltage (3.8V-40V)">
      <formula>NOT(ISERROR(SEARCH("Input Voltage (3.8V-40V)",A19)))</formula>
    </cfRule>
  </conditionalFormatting>
  <conditionalFormatting sqref="A20">
    <cfRule type="containsText" dxfId="4" priority="3" operator="containsText" text="Output Voltage">
      <formula>NOT(ISERROR(SEARCH("Output Voltage",A20)))</formula>
    </cfRule>
    <cfRule type="containsText" dxfId="3" priority="2" operator="containsText" text="Voltage Out of Range">
      <formula>NOT(ISERROR(SEARCH("Voltage Out of Range",A20)))</formula>
    </cfRule>
  </conditionalFormatting>
  <conditionalFormatting sqref="B20">
    <cfRule type="cellIs" dxfId="2" priority="1" operator="between">
      <formula>0.8</formula>
      <formula>$B$19</formula>
    </cfRule>
  </conditionalFormatting>
  <dataValidations count="1">
    <dataValidation type="list" allowBlank="1" showInputMessage="1" showErrorMessage="1" sqref="B17">
      <formula1>$I$39:$I$42</formula1>
    </dataValidation>
  </dataValidations>
  <pageMargins left="0.7" right="0.7" top="0.75" bottom="0.75" header="0.3" footer="0.3"/>
  <pageSetup orientation="portrait" verticalDpi="598" r:id="rId1"/>
  <drawing r:id="rId2"/>
  <legacyDrawing r:id="rId3"/>
  <oleObjects>
    <mc:AlternateContent xmlns:mc="http://schemas.openxmlformats.org/markup-compatibility/2006">
      <mc:Choice Requires="x14">
        <oleObject progId="Visio.Drawing.11" shapeId="1042" r:id="rId4">
          <objectPr defaultSize="0" autoPict="0" r:id="rId5">
            <anchor moveWithCells="1">
              <from>
                <xdr:col>7</xdr:col>
                <xdr:colOff>222250</xdr:colOff>
                <xdr:row>14</xdr:row>
                <xdr:rowOff>50800</xdr:rowOff>
              </from>
              <to>
                <xdr:col>16</xdr:col>
                <xdr:colOff>590550</xdr:colOff>
                <xdr:row>32</xdr:row>
                <xdr:rowOff>19050</xdr:rowOff>
              </to>
            </anchor>
          </objectPr>
        </oleObject>
      </mc:Choice>
      <mc:Fallback>
        <oleObject progId="Visio.Drawing.11" shapeId="104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topLeftCell="A7" workbookViewId="0">
      <selection activeCell="B9" sqref="B9"/>
    </sheetView>
  </sheetViews>
  <sheetFormatPr defaultRowHeight="13" customHeight="1"/>
  <cols>
    <col min="1" max="1" width="15.7265625" style="2" customWidth="1"/>
    <col min="2" max="2" width="17.1796875" style="2" customWidth="1"/>
    <col min="3" max="3" width="11.81640625" style="2" customWidth="1"/>
    <col min="4" max="4" width="19.81640625" style="2" customWidth="1"/>
    <col min="5" max="5" width="12.1796875" style="2" customWidth="1"/>
    <col min="6" max="6" width="10.7265625" style="2" customWidth="1"/>
    <col min="7" max="7" width="27.1796875" style="2" customWidth="1"/>
    <col min="8" max="8" width="23.7265625" style="2" customWidth="1"/>
    <col min="9" max="13" width="9.26953125" style="2" bestFit="1" customWidth="1"/>
    <col min="14" max="15" width="12.26953125" style="2" bestFit="1" customWidth="1"/>
    <col min="16" max="17" width="9.26953125" style="2" bestFit="1" customWidth="1"/>
    <col min="18" max="256" width="9.1796875" style="2"/>
    <col min="257" max="257" width="15.7265625" style="2" customWidth="1"/>
    <col min="258" max="258" width="17.1796875" style="2" customWidth="1"/>
    <col min="259" max="259" width="11.81640625" style="2" customWidth="1"/>
    <col min="260" max="260" width="11" style="2" customWidth="1"/>
    <col min="261" max="261" width="24.7265625" style="2" customWidth="1"/>
    <col min="262" max="262" width="10.7265625" style="2" customWidth="1"/>
    <col min="263" max="263" width="27.1796875" style="2" customWidth="1"/>
    <col min="264" max="264" width="23.7265625" style="2" customWidth="1"/>
    <col min="265" max="512" width="9.1796875" style="2"/>
    <col min="513" max="513" width="15.7265625" style="2" customWidth="1"/>
    <col min="514" max="514" width="17.1796875" style="2" customWidth="1"/>
    <col min="515" max="515" width="11.81640625" style="2" customWidth="1"/>
    <col min="516" max="516" width="11" style="2" customWidth="1"/>
    <col min="517" max="517" width="24.7265625" style="2" customWidth="1"/>
    <col min="518" max="518" width="10.7265625" style="2" customWidth="1"/>
    <col min="519" max="519" width="27.1796875" style="2" customWidth="1"/>
    <col min="520" max="520" width="23.7265625" style="2" customWidth="1"/>
    <col min="521" max="768" width="9.1796875" style="2"/>
    <col min="769" max="769" width="15.7265625" style="2" customWidth="1"/>
    <col min="770" max="770" width="17.1796875" style="2" customWidth="1"/>
    <col min="771" max="771" width="11.81640625" style="2" customWidth="1"/>
    <col min="772" max="772" width="11" style="2" customWidth="1"/>
    <col min="773" max="773" width="24.7265625" style="2" customWidth="1"/>
    <col min="774" max="774" width="10.7265625" style="2" customWidth="1"/>
    <col min="775" max="775" width="27.1796875" style="2" customWidth="1"/>
    <col min="776" max="776" width="23.7265625" style="2" customWidth="1"/>
    <col min="777" max="1024" width="9.1796875" style="2"/>
    <col min="1025" max="1025" width="15.7265625" style="2" customWidth="1"/>
    <col min="1026" max="1026" width="17.1796875" style="2" customWidth="1"/>
    <col min="1027" max="1027" width="11.81640625" style="2" customWidth="1"/>
    <col min="1028" max="1028" width="11" style="2" customWidth="1"/>
    <col min="1029" max="1029" width="24.7265625" style="2" customWidth="1"/>
    <col min="1030" max="1030" width="10.7265625" style="2" customWidth="1"/>
    <col min="1031" max="1031" width="27.1796875" style="2" customWidth="1"/>
    <col min="1032" max="1032" width="23.7265625" style="2" customWidth="1"/>
    <col min="1033" max="1280" width="9.1796875" style="2"/>
    <col min="1281" max="1281" width="15.7265625" style="2" customWidth="1"/>
    <col min="1282" max="1282" width="17.1796875" style="2" customWidth="1"/>
    <col min="1283" max="1283" width="11.81640625" style="2" customWidth="1"/>
    <col min="1284" max="1284" width="11" style="2" customWidth="1"/>
    <col min="1285" max="1285" width="24.7265625" style="2" customWidth="1"/>
    <col min="1286" max="1286" width="10.7265625" style="2" customWidth="1"/>
    <col min="1287" max="1287" width="27.1796875" style="2" customWidth="1"/>
    <col min="1288" max="1288" width="23.7265625" style="2" customWidth="1"/>
    <col min="1289" max="1536" width="9.1796875" style="2"/>
    <col min="1537" max="1537" width="15.7265625" style="2" customWidth="1"/>
    <col min="1538" max="1538" width="17.1796875" style="2" customWidth="1"/>
    <col min="1539" max="1539" width="11.81640625" style="2" customWidth="1"/>
    <col min="1540" max="1540" width="11" style="2" customWidth="1"/>
    <col min="1541" max="1541" width="24.7265625" style="2" customWidth="1"/>
    <col min="1542" max="1542" width="10.7265625" style="2" customWidth="1"/>
    <col min="1543" max="1543" width="27.1796875" style="2" customWidth="1"/>
    <col min="1544" max="1544" width="23.7265625" style="2" customWidth="1"/>
    <col min="1545" max="1792" width="9.1796875" style="2"/>
    <col min="1793" max="1793" width="15.7265625" style="2" customWidth="1"/>
    <col min="1794" max="1794" width="17.1796875" style="2" customWidth="1"/>
    <col min="1795" max="1795" width="11.81640625" style="2" customWidth="1"/>
    <col min="1796" max="1796" width="11" style="2" customWidth="1"/>
    <col min="1797" max="1797" width="24.7265625" style="2" customWidth="1"/>
    <col min="1798" max="1798" width="10.7265625" style="2" customWidth="1"/>
    <col min="1799" max="1799" width="27.1796875" style="2" customWidth="1"/>
    <col min="1800" max="1800" width="23.7265625" style="2" customWidth="1"/>
    <col min="1801" max="2048" width="9.1796875" style="2"/>
    <col min="2049" max="2049" width="15.7265625" style="2" customWidth="1"/>
    <col min="2050" max="2050" width="17.1796875" style="2" customWidth="1"/>
    <col min="2051" max="2051" width="11.81640625" style="2" customWidth="1"/>
    <col min="2052" max="2052" width="11" style="2" customWidth="1"/>
    <col min="2053" max="2053" width="24.7265625" style="2" customWidth="1"/>
    <col min="2054" max="2054" width="10.7265625" style="2" customWidth="1"/>
    <col min="2055" max="2055" width="27.1796875" style="2" customWidth="1"/>
    <col min="2056" max="2056" width="23.7265625" style="2" customWidth="1"/>
    <col min="2057" max="2304" width="9.1796875" style="2"/>
    <col min="2305" max="2305" width="15.7265625" style="2" customWidth="1"/>
    <col min="2306" max="2306" width="17.1796875" style="2" customWidth="1"/>
    <col min="2307" max="2307" width="11.81640625" style="2" customWidth="1"/>
    <col min="2308" max="2308" width="11" style="2" customWidth="1"/>
    <col min="2309" max="2309" width="24.7265625" style="2" customWidth="1"/>
    <col min="2310" max="2310" width="10.7265625" style="2" customWidth="1"/>
    <col min="2311" max="2311" width="27.1796875" style="2" customWidth="1"/>
    <col min="2312" max="2312" width="23.7265625" style="2" customWidth="1"/>
    <col min="2313" max="2560" width="9.1796875" style="2"/>
    <col min="2561" max="2561" width="15.7265625" style="2" customWidth="1"/>
    <col min="2562" max="2562" width="17.1796875" style="2" customWidth="1"/>
    <col min="2563" max="2563" width="11.81640625" style="2" customWidth="1"/>
    <col min="2564" max="2564" width="11" style="2" customWidth="1"/>
    <col min="2565" max="2565" width="24.7265625" style="2" customWidth="1"/>
    <col min="2566" max="2566" width="10.7265625" style="2" customWidth="1"/>
    <col min="2567" max="2567" width="27.1796875" style="2" customWidth="1"/>
    <col min="2568" max="2568" width="23.7265625" style="2" customWidth="1"/>
    <col min="2569" max="2816" width="9.1796875" style="2"/>
    <col min="2817" max="2817" width="15.7265625" style="2" customWidth="1"/>
    <col min="2818" max="2818" width="17.1796875" style="2" customWidth="1"/>
    <col min="2819" max="2819" width="11.81640625" style="2" customWidth="1"/>
    <col min="2820" max="2820" width="11" style="2" customWidth="1"/>
    <col min="2821" max="2821" width="24.7265625" style="2" customWidth="1"/>
    <col min="2822" max="2822" width="10.7265625" style="2" customWidth="1"/>
    <col min="2823" max="2823" width="27.1796875" style="2" customWidth="1"/>
    <col min="2824" max="2824" width="23.7265625" style="2" customWidth="1"/>
    <col min="2825" max="3072" width="9.1796875" style="2"/>
    <col min="3073" max="3073" width="15.7265625" style="2" customWidth="1"/>
    <col min="3074" max="3074" width="17.1796875" style="2" customWidth="1"/>
    <col min="3075" max="3075" width="11.81640625" style="2" customWidth="1"/>
    <col min="3076" max="3076" width="11" style="2" customWidth="1"/>
    <col min="3077" max="3077" width="24.7265625" style="2" customWidth="1"/>
    <col min="3078" max="3078" width="10.7265625" style="2" customWidth="1"/>
    <col min="3079" max="3079" width="27.1796875" style="2" customWidth="1"/>
    <col min="3080" max="3080" width="23.7265625" style="2" customWidth="1"/>
    <col min="3081" max="3328" width="9.1796875" style="2"/>
    <col min="3329" max="3329" width="15.7265625" style="2" customWidth="1"/>
    <col min="3330" max="3330" width="17.1796875" style="2" customWidth="1"/>
    <col min="3331" max="3331" width="11.81640625" style="2" customWidth="1"/>
    <col min="3332" max="3332" width="11" style="2" customWidth="1"/>
    <col min="3333" max="3333" width="24.7265625" style="2" customWidth="1"/>
    <col min="3334" max="3334" width="10.7265625" style="2" customWidth="1"/>
    <col min="3335" max="3335" width="27.1796875" style="2" customWidth="1"/>
    <col min="3336" max="3336" width="23.7265625" style="2" customWidth="1"/>
    <col min="3337" max="3584" width="9.1796875" style="2"/>
    <col min="3585" max="3585" width="15.7265625" style="2" customWidth="1"/>
    <col min="3586" max="3586" width="17.1796875" style="2" customWidth="1"/>
    <col min="3587" max="3587" width="11.81640625" style="2" customWidth="1"/>
    <col min="3588" max="3588" width="11" style="2" customWidth="1"/>
    <col min="3589" max="3589" width="24.7265625" style="2" customWidth="1"/>
    <col min="3590" max="3590" width="10.7265625" style="2" customWidth="1"/>
    <col min="3591" max="3591" width="27.1796875" style="2" customWidth="1"/>
    <col min="3592" max="3592" width="23.7265625" style="2" customWidth="1"/>
    <col min="3593" max="3840" width="9.1796875" style="2"/>
    <col min="3841" max="3841" width="15.7265625" style="2" customWidth="1"/>
    <col min="3842" max="3842" width="17.1796875" style="2" customWidth="1"/>
    <col min="3843" max="3843" width="11.81640625" style="2" customWidth="1"/>
    <col min="3844" max="3844" width="11" style="2" customWidth="1"/>
    <col min="3845" max="3845" width="24.7265625" style="2" customWidth="1"/>
    <col min="3846" max="3846" width="10.7265625" style="2" customWidth="1"/>
    <col min="3847" max="3847" width="27.1796875" style="2" customWidth="1"/>
    <col min="3848" max="3848" width="23.7265625" style="2" customWidth="1"/>
    <col min="3849" max="4096" width="9.1796875" style="2"/>
    <col min="4097" max="4097" width="15.7265625" style="2" customWidth="1"/>
    <col min="4098" max="4098" width="17.1796875" style="2" customWidth="1"/>
    <col min="4099" max="4099" width="11.81640625" style="2" customWidth="1"/>
    <col min="4100" max="4100" width="11" style="2" customWidth="1"/>
    <col min="4101" max="4101" width="24.7265625" style="2" customWidth="1"/>
    <col min="4102" max="4102" width="10.7265625" style="2" customWidth="1"/>
    <col min="4103" max="4103" width="27.1796875" style="2" customWidth="1"/>
    <col min="4104" max="4104" width="23.7265625" style="2" customWidth="1"/>
    <col min="4105" max="4352" width="9.1796875" style="2"/>
    <col min="4353" max="4353" width="15.7265625" style="2" customWidth="1"/>
    <col min="4354" max="4354" width="17.1796875" style="2" customWidth="1"/>
    <col min="4355" max="4355" width="11.81640625" style="2" customWidth="1"/>
    <col min="4356" max="4356" width="11" style="2" customWidth="1"/>
    <col min="4357" max="4357" width="24.7265625" style="2" customWidth="1"/>
    <col min="4358" max="4358" width="10.7265625" style="2" customWidth="1"/>
    <col min="4359" max="4359" width="27.1796875" style="2" customWidth="1"/>
    <col min="4360" max="4360" width="23.7265625" style="2" customWidth="1"/>
    <col min="4361" max="4608" width="9.1796875" style="2"/>
    <col min="4609" max="4609" width="15.7265625" style="2" customWidth="1"/>
    <col min="4610" max="4610" width="17.1796875" style="2" customWidth="1"/>
    <col min="4611" max="4611" width="11.81640625" style="2" customWidth="1"/>
    <col min="4612" max="4612" width="11" style="2" customWidth="1"/>
    <col min="4613" max="4613" width="24.7265625" style="2" customWidth="1"/>
    <col min="4614" max="4614" width="10.7265625" style="2" customWidth="1"/>
    <col min="4615" max="4615" width="27.1796875" style="2" customWidth="1"/>
    <col min="4616" max="4616" width="23.7265625" style="2" customWidth="1"/>
    <col min="4617" max="4864" width="9.1796875" style="2"/>
    <col min="4865" max="4865" width="15.7265625" style="2" customWidth="1"/>
    <col min="4866" max="4866" width="17.1796875" style="2" customWidth="1"/>
    <col min="4867" max="4867" width="11.81640625" style="2" customWidth="1"/>
    <col min="4868" max="4868" width="11" style="2" customWidth="1"/>
    <col min="4869" max="4869" width="24.7265625" style="2" customWidth="1"/>
    <col min="4870" max="4870" width="10.7265625" style="2" customWidth="1"/>
    <col min="4871" max="4871" width="27.1796875" style="2" customWidth="1"/>
    <col min="4872" max="4872" width="23.7265625" style="2" customWidth="1"/>
    <col min="4873" max="5120" width="9.1796875" style="2"/>
    <col min="5121" max="5121" width="15.7265625" style="2" customWidth="1"/>
    <col min="5122" max="5122" width="17.1796875" style="2" customWidth="1"/>
    <col min="5123" max="5123" width="11.81640625" style="2" customWidth="1"/>
    <col min="5124" max="5124" width="11" style="2" customWidth="1"/>
    <col min="5125" max="5125" width="24.7265625" style="2" customWidth="1"/>
    <col min="5126" max="5126" width="10.7265625" style="2" customWidth="1"/>
    <col min="5127" max="5127" width="27.1796875" style="2" customWidth="1"/>
    <col min="5128" max="5128" width="23.7265625" style="2" customWidth="1"/>
    <col min="5129" max="5376" width="9.1796875" style="2"/>
    <col min="5377" max="5377" width="15.7265625" style="2" customWidth="1"/>
    <col min="5378" max="5378" width="17.1796875" style="2" customWidth="1"/>
    <col min="5379" max="5379" width="11.81640625" style="2" customWidth="1"/>
    <col min="5380" max="5380" width="11" style="2" customWidth="1"/>
    <col min="5381" max="5381" width="24.7265625" style="2" customWidth="1"/>
    <col min="5382" max="5382" width="10.7265625" style="2" customWidth="1"/>
    <col min="5383" max="5383" width="27.1796875" style="2" customWidth="1"/>
    <col min="5384" max="5384" width="23.7265625" style="2" customWidth="1"/>
    <col min="5385" max="5632" width="9.1796875" style="2"/>
    <col min="5633" max="5633" width="15.7265625" style="2" customWidth="1"/>
    <col min="5634" max="5634" width="17.1796875" style="2" customWidth="1"/>
    <col min="5635" max="5635" width="11.81640625" style="2" customWidth="1"/>
    <col min="5636" max="5636" width="11" style="2" customWidth="1"/>
    <col min="5637" max="5637" width="24.7265625" style="2" customWidth="1"/>
    <col min="5638" max="5638" width="10.7265625" style="2" customWidth="1"/>
    <col min="5639" max="5639" width="27.1796875" style="2" customWidth="1"/>
    <col min="5640" max="5640" width="23.7265625" style="2" customWidth="1"/>
    <col min="5641" max="5888" width="9.1796875" style="2"/>
    <col min="5889" max="5889" width="15.7265625" style="2" customWidth="1"/>
    <col min="5890" max="5890" width="17.1796875" style="2" customWidth="1"/>
    <col min="5891" max="5891" width="11.81640625" style="2" customWidth="1"/>
    <col min="5892" max="5892" width="11" style="2" customWidth="1"/>
    <col min="5893" max="5893" width="24.7265625" style="2" customWidth="1"/>
    <col min="5894" max="5894" width="10.7265625" style="2" customWidth="1"/>
    <col min="5895" max="5895" width="27.1796875" style="2" customWidth="1"/>
    <col min="5896" max="5896" width="23.7265625" style="2" customWidth="1"/>
    <col min="5897" max="6144" width="9.1796875" style="2"/>
    <col min="6145" max="6145" width="15.7265625" style="2" customWidth="1"/>
    <col min="6146" max="6146" width="17.1796875" style="2" customWidth="1"/>
    <col min="6147" max="6147" width="11.81640625" style="2" customWidth="1"/>
    <col min="6148" max="6148" width="11" style="2" customWidth="1"/>
    <col min="6149" max="6149" width="24.7265625" style="2" customWidth="1"/>
    <col min="6150" max="6150" width="10.7265625" style="2" customWidth="1"/>
    <col min="6151" max="6151" width="27.1796875" style="2" customWidth="1"/>
    <col min="6152" max="6152" width="23.7265625" style="2" customWidth="1"/>
    <col min="6153" max="6400" width="9.1796875" style="2"/>
    <col min="6401" max="6401" width="15.7265625" style="2" customWidth="1"/>
    <col min="6402" max="6402" width="17.1796875" style="2" customWidth="1"/>
    <col min="6403" max="6403" width="11.81640625" style="2" customWidth="1"/>
    <col min="6404" max="6404" width="11" style="2" customWidth="1"/>
    <col min="6405" max="6405" width="24.7265625" style="2" customWidth="1"/>
    <col min="6406" max="6406" width="10.7265625" style="2" customWidth="1"/>
    <col min="6407" max="6407" width="27.1796875" style="2" customWidth="1"/>
    <col min="6408" max="6408" width="23.7265625" style="2" customWidth="1"/>
    <col min="6409" max="6656" width="9.1796875" style="2"/>
    <col min="6657" max="6657" width="15.7265625" style="2" customWidth="1"/>
    <col min="6658" max="6658" width="17.1796875" style="2" customWidth="1"/>
    <col min="6659" max="6659" width="11.81640625" style="2" customWidth="1"/>
    <col min="6660" max="6660" width="11" style="2" customWidth="1"/>
    <col min="6661" max="6661" width="24.7265625" style="2" customWidth="1"/>
    <col min="6662" max="6662" width="10.7265625" style="2" customWidth="1"/>
    <col min="6663" max="6663" width="27.1796875" style="2" customWidth="1"/>
    <col min="6664" max="6664" width="23.7265625" style="2" customWidth="1"/>
    <col min="6665" max="6912" width="9.1796875" style="2"/>
    <col min="6913" max="6913" width="15.7265625" style="2" customWidth="1"/>
    <col min="6914" max="6914" width="17.1796875" style="2" customWidth="1"/>
    <col min="6915" max="6915" width="11.81640625" style="2" customWidth="1"/>
    <col min="6916" max="6916" width="11" style="2" customWidth="1"/>
    <col min="6917" max="6917" width="24.7265625" style="2" customWidth="1"/>
    <col min="6918" max="6918" width="10.7265625" style="2" customWidth="1"/>
    <col min="6919" max="6919" width="27.1796875" style="2" customWidth="1"/>
    <col min="6920" max="6920" width="23.7265625" style="2" customWidth="1"/>
    <col min="6921" max="7168" width="9.1796875" style="2"/>
    <col min="7169" max="7169" width="15.7265625" style="2" customWidth="1"/>
    <col min="7170" max="7170" width="17.1796875" style="2" customWidth="1"/>
    <col min="7171" max="7171" width="11.81640625" style="2" customWidth="1"/>
    <col min="7172" max="7172" width="11" style="2" customWidth="1"/>
    <col min="7173" max="7173" width="24.7265625" style="2" customWidth="1"/>
    <col min="7174" max="7174" width="10.7265625" style="2" customWidth="1"/>
    <col min="7175" max="7175" width="27.1796875" style="2" customWidth="1"/>
    <col min="7176" max="7176" width="23.7265625" style="2" customWidth="1"/>
    <col min="7177" max="7424" width="9.1796875" style="2"/>
    <col min="7425" max="7425" width="15.7265625" style="2" customWidth="1"/>
    <col min="7426" max="7426" width="17.1796875" style="2" customWidth="1"/>
    <col min="7427" max="7427" width="11.81640625" style="2" customWidth="1"/>
    <col min="7428" max="7428" width="11" style="2" customWidth="1"/>
    <col min="7429" max="7429" width="24.7265625" style="2" customWidth="1"/>
    <col min="7430" max="7430" width="10.7265625" style="2" customWidth="1"/>
    <col min="7431" max="7431" width="27.1796875" style="2" customWidth="1"/>
    <col min="7432" max="7432" width="23.7265625" style="2" customWidth="1"/>
    <col min="7433" max="7680" width="9.1796875" style="2"/>
    <col min="7681" max="7681" width="15.7265625" style="2" customWidth="1"/>
    <col min="7682" max="7682" width="17.1796875" style="2" customWidth="1"/>
    <col min="7683" max="7683" width="11.81640625" style="2" customWidth="1"/>
    <col min="7684" max="7684" width="11" style="2" customWidth="1"/>
    <col min="7685" max="7685" width="24.7265625" style="2" customWidth="1"/>
    <col min="7686" max="7686" width="10.7265625" style="2" customWidth="1"/>
    <col min="7687" max="7687" width="27.1796875" style="2" customWidth="1"/>
    <col min="7688" max="7688" width="23.7265625" style="2" customWidth="1"/>
    <col min="7689" max="7936" width="9.1796875" style="2"/>
    <col min="7937" max="7937" width="15.7265625" style="2" customWidth="1"/>
    <col min="7938" max="7938" width="17.1796875" style="2" customWidth="1"/>
    <col min="7939" max="7939" width="11.81640625" style="2" customWidth="1"/>
    <col min="7940" max="7940" width="11" style="2" customWidth="1"/>
    <col min="7941" max="7941" width="24.7265625" style="2" customWidth="1"/>
    <col min="7942" max="7942" width="10.7265625" style="2" customWidth="1"/>
    <col min="7943" max="7943" width="27.1796875" style="2" customWidth="1"/>
    <col min="7944" max="7944" width="23.7265625" style="2" customWidth="1"/>
    <col min="7945" max="8192" width="9.1796875" style="2"/>
    <col min="8193" max="8193" width="15.7265625" style="2" customWidth="1"/>
    <col min="8194" max="8194" width="17.1796875" style="2" customWidth="1"/>
    <col min="8195" max="8195" width="11.81640625" style="2" customWidth="1"/>
    <col min="8196" max="8196" width="11" style="2" customWidth="1"/>
    <col min="8197" max="8197" width="24.7265625" style="2" customWidth="1"/>
    <col min="8198" max="8198" width="10.7265625" style="2" customWidth="1"/>
    <col min="8199" max="8199" width="27.1796875" style="2" customWidth="1"/>
    <col min="8200" max="8200" width="23.7265625" style="2" customWidth="1"/>
    <col min="8201" max="8448" width="9.1796875" style="2"/>
    <col min="8449" max="8449" width="15.7265625" style="2" customWidth="1"/>
    <col min="8450" max="8450" width="17.1796875" style="2" customWidth="1"/>
    <col min="8451" max="8451" width="11.81640625" style="2" customWidth="1"/>
    <col min="8452" max="8452" width="11" style="2" customWidth="1"/>
    <col min="8453" max="8453" width="24.7265625" style="2" customWidth="1"/>
    <col min="8454" max="8454" width="10.7265625" style="2" customWidth="1"/>
    <col min="8455" max="8455" width="27.1796875" style="2" customWidth="1"/>
    <col min="8456" max="8456" width="23.7265625" style="2" customWidth="1"/>
    <col min="8457" max="8704" width="9.1796875" style="2"/>
    <col min="8705" max="8705" width="15.7265625" style="2" customWidth="1"/>
    <col min="8706" max="8706" width="17.1796875" style="2" customWidth="1"/>
    <col min="8707" max="8707" width="11.81640625" style="2" customWidth="1"/>
    <col min="8708" max="8708" width="11" style="2" customWidth="1"/>
    <col min="8709" max="8709" width="24.7265625" style="2" customWidth="1"/>
    <col min="8710" max="8710" width="10.7265625" style="2" customWidth="1"/>
    <col min="8711" max="8711" width="27.1796875" style="2" customWidth="1"/>
    <col min="8712" max="8712" width="23.7265625" style="2" customWidth="1"/>
    <col min="8713" max="8960" width="9.1796875" style="2"/>
    <col min="8961" max="8961" width="15.7265625" style="2" customWidth="1"/>
    <col min="8962" max="8962" width="17.1796875" style="2" customWidth="1"/>
    <col min="8963" max="8963" width="11.81640625" style="2" customWidth="1"/>
    <col min="8964" max="8964" width="11" style="2" customWidth="1"/>
    <col min="8965" max="8965" width="24.7265625" style="2" customWidth="1"/>
    <col min="8966" max="8966" width="10.7265625" style="2" customWidth="1"/>
    <col min="8967" max="8967" width="27.1796875" style="2" customWidth="1"/>
    <col min="8968" max="8968" width="23.7265625" style="2" customWidth="1"/>
    <col min="8969" max="9216" width="9.1796875" style="2"/>
    <col min="9217" max="9217" width="15.7265625" style="2" customWidth="1"/>
    <col min="9218" max="9218" width="17.1796875" style="2" customWidth="1"/>
    <col min="9219" max="9219" width="11.81640625" style="2" customWidth="1"/>
    <col min="9220" max="9220" width="11" style="2" customWidth="1"/>
    <col min="9221" max="9221" width="24.7265625" style="2" customWidth="1"/>
    <col min="9222" max="9222" width="10.7265625" style="2" customWidth="1"/>
    <col min="9223" max="9223" width="27.1796875" style="2" customWidth="1"/>
    <col min="9224" max="9224" width="23.7265625" style="2" customWidth="1"/>
    <col min="9225" max="9472" width="9.1796875" style="2"/>
    <col min="9473" max="9473" width="15.7265625" style="2" customWidth="1"/>
    <col min="9474" max="9474" width="17.1796875" style="2" customWidth="1"/>
    <col min="9475" max="9475" width="11.81640625" style="2" customWidth="1"/>
    <col min="9476" max="9476" width="11" style="2" customWidth="1"/>
    <col min="9477" max="9477" width="24.7265625" style="2" customWidth="1"/>
    <col min="9478" max="9478" width="10.7265625" style="2" customWidth="1"/>
    <col min="9479" max="9479" width="27.1796875" style="2" customWidth="1"/>
    <col min="9480" max="9480" width="23.7265625" style="2" customWidth="1"/>
    <col min="9481" max="9728" width="9.1796875" style="2"/>
    <col min="9729" max="9729" width="15.7265625" style="2" customWidth="1"/>
    <col min="9730" max="9730" width="17.1796875" style="2" customWidth="1"/>
    <col min="9731" max="9731" width="11.81640625" style="2" customWidth="1"/>
    <col min="9732" max="9732" width="11" style="2" customWidth="1"/>
    <col min="9733" max="9733" width="24.7265625" style="2" customWidth="1"/>
    <col min="9734" max="9734" width="10.7265625" style="2" customWidth="1"/>
    <col min="9735" max="9735" width="27.1796875" style="2" customWidth="1"/>
    <col min="9736" max="9736" width="23.7265625" style="2" customWidth="1"/>
    <col min="9737" max="9984" width="9.1796875" style="2"/>
    <col min="9985" max="9985" width="15.7265625" style="2" customWidth="1"/>
    <col min="9986" max="9986" width="17.1796875" style="2" customWidth="1"/>
    <col min="9987" max="9987" width="11.81640625" style="2" customWidth="1"/>
    <col min="9988" max="9988" width="11" style="2" customWidth="1"/>
    <col min="9989" max="9989" width="24.7265625" style="2" customWidth="1"/>
    <col min="9990" max="9990" width="10.7265625" style="2" customWidth="1"/>
    <col min="9991" max="9991" width="27.1796875" style="2" customWidth="1"/>
    <col min="9992" max="9992" width="23.7265625" style="2" customWidth="1"/>
    <col min="9993" max="10240" width="9.1796875" style="2"/>
    <col min="10241" max="10241" width="15.7265625" style="2" customWidth="1"/>
    <col min="10242" max="10242" width="17.1796875" style="2" customWidth="1"/>
    <col min="10243" max="10243" width="11.81640625" style="2" customWidth="1"/>
    <col min="10244" max="10244" width="11" style="2" customWidth="1"/>
    <col min="10245" max="10245" width="24.7265625" style="2" customWidth="1"/>
    <col min="10246" max="10246" width="10.7265625" style="2" customWidth="1"/>
    <col min="10247" max="10247" width="27.1796875" style="2" customWidth="1"/>
    <col min="10248" max="10248" width="23.7265625" style="2" customWidth="1"/>
    <col min="10249" max="10496" width="9.1796875" style="2"/>
    <col min="10497" max="10497" width="15.7265625" style="2" customWidth="1"/>
    <col min="10498" max="10498" width="17.1796875" style="2" customWidth="1"/>
    <col min="10499" max="10499" width="11.81640625" style="2" customWidth="1"/>
    <col min="10500" max="10500" width="11" style="2" customWidth="1"/>
    <col min="10501" max="10501" width="24.7265625" style="2" customWidth="1"/>
    <col min="10502" max="10502" width="10.7265625" style="2" customWidth="1"/>
    <col min="10503" max="10503" width="27.1796875" style="2" customWidth="1"/>
    <col min="10504" max="10504" width="23.7265625" style="2" customWidth="1"/>
    <col min="10505" max="10752" width="9.1796875" style="2"/>
    <col min="10753" max="10753" width="15.7265625" style="2" customWidth="1"/>
    <col min="10754" max="10754" width="17.1796875" style="2" customWidth="1"/>
    <col min="10755" max="10755" width="11.81640625" style="2" customWidth="1"/>
    <col min="10756" max="10756" width="11" style="2" customWidth="1"/>
    <col min="10757" max="10757" width="24.7265625" style="2" customWidth="1"/>
    <col min="10758" max="10758" width="10.7265625" style="2" customWidth="1"/>
    <col min="10759" max="10759" width="27.1796875" style="2" customWidth="1"/>
    <col min="10760" max="10760" width="23.7265625" style="2" customWidth="1"/>
    <col min="10761" max="11008" width="9.1796875" style="2"/>
    <col min="11009" max="11009" width="15.7265625" style="2" customWidth="1"/>
    <col min="11010" max="11010" width="17.1796875" style="2" customWidth="1"/>
    <col min="11011" max="11011" width="11.81640625" style="2" customWidth="1"/>
    <col min="11012" max="11012" width="11" style="2" customWidth="1"/>
    <col min="11013" max="11013" width="24.7265625" style="2" customWidth="1"/>
    <col min="11014" max="11014" width="10.7265625" style="2" customWidth="1"/>
    <col min="11015" max="11015" width="27.1796875" style="2" customWidth="1"/>
    <col min="11016" max="11016" width="23.7265625" style="2" customWidth="1"/>
    <col min="11017" max="11264" width="9.1796875" style="2"/>
    <col min="11265" max="11265" width="15.7265625" style="2" customWidth="1"/>
    <col min="11266" max="11266" width="17.1796875" style="2" customWidth="1"/>
    <col min="11267" max="11267" width="11.81640625" style="2" customWidth="1"/>
    <col min="11268" max="11268" width="11" style="2" customWidth="1"/>
    <col min="11269" max="11269" width="24.7265625" style="2" customWidth="1"/>
    <col min="11270" max="11270" width="10.7265625" style="2" customWidth="1"/>
    <col min="11271" max="11271" width="27.1796875" style="2" customWidth="1"/>
    <col min="11272" max="11272" width="23.7265625" style="2" customWidth="1"/>
    <col min="11273" max="11520" width="9.1796875" style="2"/>
    <col min="11521" max="11521" width="15.7265625" style="2" customWidth="1"/>
    <col min="11522" max="11522" width="17.1796875" style="2" customWidth="1"/>
    <col min="11523" max="11523" width="11.81640625" style="2" customWidth="1"/>
    <col min="11524" max="11524" width="11" style="2" customWidth="1"/>
    <col min="11525" max="11525" width="24.7265625" style="2" customWidth="1"/>
    <col min="11526" max="11526" width="10.7265625" style="2" customWidth="1"/>
    <col min="11527" max="11527" width="27.1796875" style="2" customWidth="1"/>
    <col min="11528" max="11528" width="23.7265625" style="2" customWidth="1"/>
    <col min="11529" max="11776" width="9.1796875" style="2"/>
    <col min="11777" max="11777" width="15.7265625" style="2" customWidth="1"/>
    <col min="11778" max="11778" width="17.1796875" style="2" customWidth="1"/>
    <col min="11779" max="11779" width="11.81640625" style="2" customWidth="1"/>
    <col min="11780" max="11780" width="11" style="2" customWidth="1"/>
    <col min="11781" max="11781" width="24.7265625" style="2" customWidth="1"/>
    <col min="11782" max="11782" width="10.7265625" style="2" customWidth="1"/>
    <col min="11783" max="11783" width="27.1796875" style="2" customWidth="1"/>
    <col min="11784" max="11784" width="23.7265625" style="2" customWidth="1"/>
    <col min="11785" max="12032" width="9.1796875" style="2"/>
    <col min="12033" max="12033" width="15.7265625" style="2" customWidth="1"/>
    <col min="12034" max="12034" width="17.1796875" style="2" customWidth="1"/>
    <col min="12035" max="12035" width="11.81640625" style="2" customWidth="1"/>
    <col min="12036" max="12036" width="11" style="2" customWidth="1"/>
    <col min="12037" max="12037" width="24.7265625" style="2" customWidth="1"/>
    <col min="12038" max="12038" width="10.7265625" style="2" customWidth="1"/>
    <col min="12039" max="12039" width="27.1796875" style="2" customWidth="1"/>
    <col min="12040" max="12040" width="23.7265625" style="2" customWidth="1"/>
    <col min="12041" max="12288" width="9.1796875" style="2"/>
    <col min="12289" max="12289" width="15.7265625" style="2" customWidth="1"/>
    <col min="12290" max="12290" width="17.1796875" style="2" customWidth="1"/>
    <col min="12291" max="12291" width="11.81640625" style="2" customWidth="1"/>
    <col min="12292" max="12292" width="11" style="2" customWidth="1"/>
    <col min="12293" max="12293" width="24.7265625" style="2" customWidth="1"/>
    <col min="12294" max="12294" width="10.7265625" style="2" customWidth="1"/>
    <col min="12295" max="12295" width="27.1796875" style="2" customWidth="1"/>
    <col min="12296" max="12296" width="23.7265625" style="2" customWidth="1"/>
    <col min="12297" max="12544" width="9.1796875" style="2"/>
    <col min="12545" max="12545" width="15.7265625" style="2" customWidth="1"/>
    <col min="12546" max="12546" width="17.1796875" style="2" customWidth="1"/>
    <col min="12547" max="12547" width="11.81640625" style="2" customWidth="1"/>
    <col min="12548" max="12548" width="11" style="2" customWidth="1"/>
    <col min="12549" max="12549" width="24.7265625" style="2" customWidth="1"/>
    <col min="12550" max="12550" width="10.7265625" style="2" customWidth="1"/>
    <col min="12551" max="12551" width="27.1796875" style="2" customWidth="1"/>
    <col min="12552" max="12552" width="23.7265625" style="2" customWidth="1"/>
    <col min="12553" max="12800" width="9.1796875" style="2"/>
    <col min="12801" max="12801" width="15.7265625" style="2" customWidth="1"/>
    <col min="12802" max="12802" width="17.1796875" style="2" customWidth="1"/>
    <col min="12803" max="12803" width="11.81640625" style="2" customWidth="1"/>
    <col min="12804" max="12804" width="11" style="2" customWidth="1"/>
    <col min="12805" max="12805" width="24.7265625" style="2" customWidth="1"/>
    <col min="12806" max="12806" width="10.7265625" style="2" customWidth="1"/>
    <col min="12807" max="12807" width="27.1796875" style="2" customWidth="1"/>
    <col min="12808" max="12808" width="23.7265625" style="2" customWidth="1"/>
    <col min="12809" max="13056" width="9.1796875" style="2"/>
    <col min="13057" max="13057" width="15.7265625" style="2" customWidth="1"/>
    <col min="13058" max="13058" width="17.1796875" style="2" customWidth="1"/>
    <col min="13059" max="13059" width="11.81640625" style="2" customWidth="1"/>
    <col min="13060" max="13060" width="11" style="2" customWidth="1"/>
    <col min="13061" max="13061" width="24.7265625" style="2" customWidth="1"/>
    <col min="13062" max="13062" width="10.7265625" style="2" customWidth="1"/>
    <col min="13063" max="13063" width="27.1796875" style="2" customWidth="1"/>
    <col min="13064" max="13064" width="23.7265625" style="2" customWidth="1"/>
    <col min="13065" max="13312" width="9.1796875" style="2"/>
    <col min="13313" max="13313" width="15.7265625" style="2" customWidth="1"/>
    <col min="13314" max="13314" width="17.1796875" style="2" customWidth="1"/>
    <col min="13315" max="13315" width="11.81640625" style="2" customWidth="1"/>
    <col min="13316" max="13316" width="11" style="2" customWidth="1"/>
    <col min="13317" max="13317" width="24.7265625" style="2" customWidth="1"/>
    <col min="13318" max="13318" width="10.7265625" style="2" customWidth="1"/>
    <col min="13319" max="13319" width="27.1796875" style="2" customWidth="1"/>
    <col min="13320" max="13320" width="23.7265625" style="2" customWidth="1"/>
    <col min="13321" max="13568" width="9.1796875" style="2"/>
    <col min="13569" max="13569" width="15.7265625" style="2" customWidth="1"/>
    <col min="13570" max="13570" width="17.1796875" style="2" customWidth="1"/>
    <col min="13571" max="13571" width="11.81640625" style="2" customWidth="1"/>
    <col min="13572" max="13572" width="11" style="2" customWidth="1"/>
    <col min="13573" max="13573" width="24.7265625" style="2" customWidth="1"/>
    <col min="13574" max="13574" width="10.7265625" style="2" customWidth="1"/>
    <col min="13575" max="13575" width="27.1796875" style="2" customWidth="1"/>
    <col min="13576" max="13576" width="23.7265625" style="2" customWidth="1"/>
    <col min="13577" max="13824" width="9.1796875" style="2"/>
    <col min="13825" max="13825" width="15.7265625" style="2" customWidth="1"/>
    <col min="13826" max="13826" width="17.1796875" style="2" customWidth="1"/>
    <col min="13827" max="13827" width="11.81640625" style="2" customWidth="1"/>
    <col min="13828" max="13828" width="11" style="2" customWidth="1"/>
    <col min="13829" max="13829" width="24.7265625" style="2" customWidth="1"/>
    <col min="13830" max="13830" width="10.7265625" style="2" customWidth="1"/>
    <col min="13831" max="13831" width="27.1796875" style="2" customWidth="1"/>
    <col min="13832" max="13832" width="23.7265625" style="2" customWidth="1"/>
    <col min="13833" max="14080" width="9.1796875" style="2"/>
    <col min="14081" max="14081" width="15.7265625" style="2" customWidth="1"/>
    <col min="14082" max="14082" width="17.1796875" style="2" customWidth="1"/>
    <col min="14083" max="14083" width="11.81640625" style="2" customWidth="1"/>
    <col min="14084" max="14084" width="11" style="2" customWidth="1"/>
    <col min="14085" max="14085" width="24.7265625" style="2" customWidth="1"/>
    <col min="14086" max="14086" width="10.7265625" style="2" customWidth="1"/>
    <col min="14087" max="14087" width="27.1796875" style="2" customWidth="1"/>
    <col min="14088" max="14088" width="23.7265625" style="2" customWidth="1"/>
    <col min="14089" max="14336" width="9.1796875" style="2"/>
    <col min="14337" max="14337" width="15.7265625" style="2" customWidth="1"/>
    <col min="14338" max="14338" width="17.1796875" style="2" customWidth="1"/>
    <col min="14339" max="14339" width="11.81640625" style="2" customWidth="1"/>
    <col min="14340" max="14340" width="11" style="2" customWidth="1"/>
    <col min="14341" max="14341" width="24.7265625" style="2" customWidth="1"/>
    <col min="14342" max="14342" width="10.7265625" style="2" customWidth="1"/>
    <col min="14343" max="14343" width="27.1796875" style="2" customWidth="1"/>
    <col min="14344" max="14344" width="23.7265625" style="2" customWidth="1"/>
    <col min="14345" max="14592" width="9.1796875" style="2"/>
    <col min="14593" max="14593" width="15.7265625" style="2" customWidth="1"/>
    <col min="14594" max="14594" width="17.1796875" style="2" customWidth="1"/>
    <col min="14595" max="14595" width="11.81640625" style="2" customWidth="1"/>
    <col min="14596" max="14596" width="11" style="2" customWidth="1"/>
    <col min="14597" max="14597" width="24.7265625" style="2" customWidth="1"/>
    <col min="14598" max="14598" width="10.7265625" style="2" customWidth="1"/>
    <col min="14599" max="14599" width="27.1796875" style="2" customWidth="1"/>
    <col min="14600" max="14600" width="23.7265625" style="2" customWidth="1"/>
    <col min="14601" max="14848" width="9.1796875" style="2"/>
    <col min="14849" max="14849" width="15.7265625" style="2" customWidth="1"/>
    <col min="14850" max="14850" width="17.1796875" style="2" customWidth="1"/>
    <col min="14851" max="14851" width="11.81640625" style="2" customWidth="1"/>
    <col min="14852" max="14852" width="11" style="2" customWidth="1"/>
    <col min="14853" max="14853" width="24.7265625" style="2" customWidth="1"/>
    <col min="14854" max="14854" width="10.7265625" style="2" customWidth="1"/>
    <col min="14855" max="14855" width="27.1796875" style="2" customWidth="1"/>
    <col min="14856" max="14856" width="23.7265625" style="2" customWidth="1"/>
    <col min="14857" max="15104" width="9.1796875" style="2"/>
    <col min="15105" max="15105" width="15.7265625" style="2" customWidth="1"/>
    <col min="15106" max="15106" width="17.1796875" style="2" customWidth="1"/>
    <col min="15107" max="15107" width="11.81640625" style="2" customWidth="1"/>
    <col min="15108" max="15108" width="11" style="2" customWidth="1"/>
    <col min="15109" max="15109" width="24.7265625" style="2" customWidth="1"/>
    <col min="15110" max="15110" width="10.7265625" style="2" customWidth="1"/>
    <col min="15111" max="15111" width="27.1796875" style="2" customWidth="1"/>
    <col min="15112" max="15112" width="23.7265625" style="2" customWidth="1"/>
    <col min="15113" max="15360" width="9.1796875" style="2"/>
    <col min="15361" max="15361" width="15.7265625" style="2" customWidth="1"/>
    <col min="15362" max="15362" width="17.1796875" style="2" customWidth="1"/>
    <col min="15363" max="15363" width="11.81640625" style="2" customWidth="1"/>
    <col min="15364" max="15364" width="11" style="2" customWidth="1"/>
    <col min="15365" max="15365" width="24.7265625" style="2" customWidth="1"/>
    <col min="15366" max="15366" width="10.7265625" style="2" customWidth="1"/>
    <col min="15367" max="15367" width="27.1796875" style="2" customWidth="1"/>
    <col min="15368" max="15368" width="23.7265625" style="2" customWidth="1"/>
    <col min="15369" max="15616" width="9.1796875" style="2"/>
    <col min="15617" max="15617" width="15.7265625" style="2" customWidth="1"/>
    <col min="15618" max="15618" width="17.1796875" style="2" customWidth="1"/>
    <col min="15619" max="15619" width="11.81640625" style="2" customWidth="1"/>
    <col min="15620" max="15620" width="11" style="2" customWidth="1"/>
    <col min="15621" max="15621" width="24.7265625" style="2" customWidth="1"/>
    <col min="15622" max="15622" width="10.7265625" style="2" customWidth="1"/>
    <col min="15623" max="15623" width="27.1796875" style="2" customWidth="1"/>
    <col min="15624" max="15624" width="23.7265625" style="2" customWidth="1"/>
    <col min="15625" max="15872" width="9.1796875" style="2"/>
    <col min="15873" max="15873" width="15.7265625" style="2" customWidth="1"/>
    <col min="15874" max="15874" width="17.1796875" style="2" customWidth="1"/>
    <col min="15875" max="15875" width="11.81640625" style="2" customWidth="1"/>
    <col min="15876" max="15876" width="11" style="2" customWidth="1"/>
    <col min="15877" max="15877" width="24.7265625" style="2" customWidth="1"/>
    <col min="15878" max="15878" width="10.7265625" style="2" customWidth="1"/>
    <col min="15879" max="15879" width="27.1796875" style="2" customWidth="1"/>
    <col min="15880" max="15880" width="23.7265625" style="2" customWidth="1"/>
    <col min="15881" max="16128" width="9.1796875" style="2"/>
    <col min="16129" max="16129" width="15.7265625" style="2" customWidth="1"/>
    <col min="16130" max="16130" width="17.1796875" style="2" customWidth="1"/>
    <col min="16131" max="16131" width="11.81640625" style="2" customWidth="1"/>
    <col min="16132" max="16132" width="11" style="2" customWidth="1"/>
    <col min="16133" max="16133" width="24.7265625" style="2" customWidth="1"/>
    <col min="16134" max="16134" width="10.7265625" style="2" customWidth="1"/>
    <col min="16135" max="16135" width="27.1796875" style="2" customWidth="1"/>
    <col min="16136" max="16136" width="23.7265625" style="2" customWidth="1"/>
    <col min="16137" max="16384" width="9.1796875" style="2"/>
  </cols>
  <sheetData>
    <row r="1" spans="1:16" ht="164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7" spans="1:16" ht="13" customHeight="1">
      <c r="A7" s="35" t="s">
        <v>107</v>
      </c>
      <c r="B7" s="36"/>
      <c r="C7" s="36"/>
      <c r="D7" s="36"/>
      <c r="E7" s="36"/>
      <c r="F7" s="36"/>
    </row>
    <row r="9" spans="1:16" ht="13" customHeight="1">
      <c r="A9" s="2" t="s">
        <v>108</v>
      </c>
      <c r="B9" s="5">
        <v>1E-3</v>
      </c>
      <c r="C9" s="6" t="s">
        <v>10</v>
      </c>
      <c r="D9" s="2" t="s">
        <v>261</v>
      </c>
      <c r="E9" s="9">
        <f>Irip/2</f>
        <v>0.65602039286249825</v>
      </c>
      <c r="F9" s="6" t="s">
        <v>10</v>
      </c>
      <c r="G9" s="29"/>
      <c r="H9" s="29"/>
      <c r="I9" s="29"/>
    </row>
    <row r="10" spans="1:16" ht="13" customHeight="1">
      <c r="A10" s="2" t="s">
        <v>109</v>
      </c>
      <c r="B10" s="5">
        <f>+Iout</f>
        <v>3.5</v>
      </c>
      <c r="C10" s="6" t="s">
        <v>10</v>
      </c>
      <c r="D10" s="29"/>
      <c r="E10" s="29"/>
      <c r="F10" s="29"/>
      <c r="G10" s="29"/>
      <c r="H10" s="29"/>
      <c r="I10" s="10" t="str">
        <f>IF(B10&gt;6,"Over Limit of IC!"," ")</f>
        <v xml:space="preserve"> </v>
      </c>
    </row>
    <row r="11" spans="1:16" s="37" customFormat="1" ht="16.5" customHeight="1">
      <c r="A11" s="97"/>
      <c r="B11" s="97"/>
      <c r="C11" s="97"/>
      <c r="D11" s="97"/>
      <c r="E11" s="97"/>
      <c r="F11" s="97"/>
      <c r="G11" s="97"/>
      <c r="H11" s="97"/>
      <c r="I11" s="97"/>
    </row>
    <row r="12" spans="1:16" s="37" customFormat="1" ht="13" customHeight="1">
      <c r="A12" s="97" t="s">
        <v>9</v>
      </c>
      <c r="B12" s="97" t="s">
        <v>110</v>
      </c>
      <c r="C12" s="97" t="s">
        <v>41</v>
      </c>
      <c r="D12" s="97" t="s">
        <v>111</v>
      </c>
      <c r="E12" s="97" t="s">
        <v>112</v>
      </c>
      <c r="F12" s="97" t="s">
        <v>113</v>
      </c>
      <c r="G12" s="97" t="s">
        <v>114</v>
      </c>
      <c r="H12" s="97" t="s">
        <v>115</v>
      </c>
      <c r="I12" s="97"/>
      <c r="J12" s="38"/>
      <c r="K12" s="38"/>
    </row>
    <row r="13" spans="1:16" s="37" customFormat="1" ht="13" customHeight="1">
      <c r="A13" s="152">
        <f>Imin</f>
        <v>1E-3</v>
      </c>
      <c r="B13" s="153">
        <f t="shared" ref="B13:B24" si="0">SUM(D13:H13)</f>
        <v>7.0576055933468565E-2</v>
      </c>
      <c r="C13" s="154">
        <f>(Vout*A13)/((Vout*A13)+B13)*100</f>
        <v>6.6158519894205927</v>
      </c>
      <c r="D13" s="155">
        <f>F44^2*Ron_u/'Power Loss'!$B$54/1000+Vin*(A13-0.5*E44)*'Power Loss'!$B$52*10^(-9)*B44*10^(3)/2+Vin*(A13+0.5*E44)*'Power Loss'!$B$53*10^(-9)*Fs*10^(3)/2+Vin*B44*10^3*'Power Loss'!$B$48*10^(-9)*'Power Loss'!$B$54+0.5*'Power Loss'!$B$51*10^(-9)*Vin^2*B44*10^3*'Power Loss'!$B$54</f>
        <v>2.5092151486858592E-2</v>
      </c>
      <c r="E13" s="155">
        <f>G44^2*'Power Loss'!$B$63/1000/'Power Loss'!$B$71+'Power Loss'!$B$64*B44*10^(-6)*((A13+0.5*E44)*'Power Loss'!$B$69+(A13-0.5*E44)*'Power Loss'!$B$70)+0.5*'Power Loss'!$B$65*Vin* B44*10^(-6)*'Power Loss'!$B$71+'Power Loss'!$B$68*10^(-9)*'Power Loss'!$B$71*Vin^2*B44*1000/2</f>
        <v>8.7499376189150799E-3</v>
      </c>
      <c r="F13" s="155">
        <f>B44*'Power Loss'!$B$79*'Power Loss'!$B$49*10^(-6)*'Power Loss'!$B$54+B44*'Power Loss'!$B$80*'Power Loss'!$B$66*10^(-6)*'Power Loss'!$B$71+'Power Loss'!$B$80*'Power Loss'!$B$81*0.001</f>
        <v>3.0380386559690144E-2</v>
      </c>
      <c r="G13" s="155">
        <f>0.7*10^(-9)*(B44)^1.35*(57.8*0.5*E44)^2.263+DCR/1000*(A13*SQRT(1+1/3*(E44/A13)^2))^2</f>
        <v>5.994932954865668E-3</v>
      </c>
      <c r="H13" s="155">
        <f>(0.5*E44/SQRT(3))^2*'Power Loss'!$B$33/'Power Loss'!$B$31/1000</f>
        <v>3.5864731313906987E-4</v>
      </c>
      <c r="I13" s="97"/>
      <c r="J13" s="38"/>
      <c r="K13" s="38"/>
    </row>
    <row r="14" spans="1:16" s="37" customFormat="1" ht="13" customHeight="1">
      <c r="A14" s="152">
        <f>Imin+(Imax-Imin)*0.001</f>
        <v>4.4990000000000004E-3</v>
      </c>
      <c r="B14" s="153">
        <f t="shared" si="0"/>
        <v>7.0824928302856791E-2</v>
      </c>
      <c r="C14" s="154">
        <f t="shared" ref="C14:C24" si="1">Vout*A14/(Vout*A14+B14)*100</f>
        <v>24.105247838377693</v>
      </c>
      <c r="D14" s="155">
        <f>F45^2*Ron_u/'Power Loss'!$B$54/1000+Vin*(A14-0.5*E45)*'Power Loss'!$B$52*10^(-9)*B45*10^(3)/2+Vin*(A14+0.5*E45)*'Power Loss'!$B$53*10^(-9)*Fs*10^(3)/2+Vin*B45*10^3*'Power Loss'!$B$48*10^(-9)*'Power Loss'!$B$54+0.5*'Power Loss'!$B$51*10^(-9)*Vin^2*B45*10^3*'Power Loss'!$B$54</f>
        <v>2.5270907379286032E-2</v>
      </c>
      <c r="E14" s="155">
        <f>G45^2*'Power Loss'!$B$63/1000/'Power Loss'!$B$71+'Power Loss'!$B$64*B45*10^(-6)*((A14+0.5*E45)*'Power Loss'!$B$69+(A14-0.5*E45)*'Power Loss'!$B$70)+0.5*'Power Loss'!$B$65*Vin* B45*10^(-6)*'Power Loss'!$B$71+'Power Loss'!$B$68*10^(-9)*'Power Loss'!$B$71*Vin^2*B45*1000/2</f>
        <v>8.8027431753579799E-3</v>
      </c>
      <c r="F14" s="155">
        <f>B45*'Power Loss'!$B$79*'Power Loss'!$B$49*10^(-6)*'Power Loss'!$B$54+B45*'Power Loss'!$B$80*'Power Loss'!$B$66*10^(-6)*'Power Loss'!$B$71+'Power Loss'!$B$80*'Power Loss'!$B$81*0.001</f>
        <v>3.0381745344426545E-2</v>
      </c>
      <c r="G14" s="155">
        <f t="shared" ref="G14:G41" si="2">0.7*10^(-9)*(B45)^1.35*(57.8*0.5*E45)^2.263+DCR/1000*(A14*SQRT(1+1/3*(E45/A14)^2))^2</f>
        <v>6.0108442088439556E-3</v>
      </c>
      <c r="H14" s="155">
        <f>(0.5*E45/SQRT(3))^2*'Power Loss'!$B$33/'Power Loss'!$B$31/1000</f>
        <v>3.5868819494228374E-4</v>
      </c>
      <c r="I14" s="97"/>
      <c r="J14" s="38"/>
      <c r="K14" s="38"/>
    </row>
    <row r="15" spans="1:16" s="37" customFormat="1" ht="13" customHeight="1">
      <c r="A15" s="152">
        <f>Imin+(Imax-Imin)*0.002</f>
        <v>7.9980000000000016E-3</v>
      </c>
      <c r="B15" s="153">
        <f t="shared" si="0"/>
        <v>7.1076535220413017E-2</v>
      </c>
      <c r="C15" s="154">
        <f t="shared" si="1"/>
        <v>36.00544477293662</v>
      </c>
      <c r="D15" s="155">
        <f>F46^2*Ron_u/'Power Loss'!$B$54/1000+Vin*(A15-0.5*E46)*'Power Loss'!$B$52*10^(-9)*B46*10^(3)/2+Vin*(A15+0.5*E46)*'Power Loss'!$B$53*10^(-9)*Fs*10^(3)/2+Vin*B46*10^3*'Power Loss'!$B$48*10^(-9)*'Power Loss'!$B$54+0.5*'Power Loss'!$B$51*10^(-9)*Vin^2*B46*10^3*'Power Loss'!$B$54</f>
        <v>2.5450892583998925E-2</v>
      </c>
      <c r="E15" s="155">
        <f>G46^2*'Power Loss'!$B$63/1000/'Power Loss'!$B$71+'Power Loss'!$B$64*B46*10^(-6)*((A15+0.5*E46)*'Power Loss'!$B$69+(A15-0.5*E46)*'Power Loss'!$B$70)+0.5*'Power Loss'!$B$65*Vin* B46*10^(-6)*'Power Loss'!$B$71+'Power Loss'!$B$68*10^(-9)*'Power Loss'!$B$71*Vin^2*B46*1000/2</f>
        <v>8.8567906583873687E-3</v>
      </c>
      <c r="F15" s="155">
        <f>B46*'Power Loss'!$B$79*'Power Loss'!$B$49*10^(-6)*'Power Loss'!$B$54+B46*'Power Loss'!$B$80*'Power Loss'!$B$66*10^(-6)*'Power Loss'!$B$71+'Power Loss'!$B$80*'Power Loss'!$B$81*0.001</f>
        <v>3.0383113871435583E-2</v>
      </c>
      <c r="G15" s="155">
        <f t="shared" si="2"/>
        <v>6.0270090266311398E-3</v>
      </c>
      <c r="H15" s="155">
        <f>(0.5*E46/SQRT(3))^2*'Power Loss'!$B$33/'Power Loss'!$B$31/1000</f>
        <v>3.5872907996000131E-4</v>
      </c>
      <c r="I15" s="97"/>
      <c r="J15" s="38"/>
      <c r="K15" s="38"/>
    </row>
    <row r="16" spans="1:16" s="37" customFormat="1" ht="13" customHeight="1">
      <c r="A16" s="152">
        <f>Imin+(Imax-Imin)*0.004</f>
        <v>1.4996000000000002E-2</v>
      </c>
      <c r="B16" s="153">
        <f t="shared" si="0"/>
        <v>7.1587985706235563E-2</v>
      </c>
      <c r="C16" s="154">
        <f t="shared" si="1"/>
        <v>51.157147066400654</v>
      </c>
      <c r="D16" s="155">
        <f>F47^2*Ron_u/'Power Loss'!$B$54/1000+Vin*(A16-0.5*E47)*'Power Loss'!$B$52*10^(-9)*B47*10^(3)/2+Vin*(A16+0.5*E47)*'Power Loss'!$B$53*10^(-9)*Fs*10^(3)/2+Vin*B47*10^3*'Power Loss'!$B$48*10^(-9)*'Power Loss'!$B$54+0.5*'Power Loss'!$B$51*10^(-9)*Vin^2*B47*10^3*'Power Loss'!$B$54</f>
        <v>2.581456150383973E-2</v>
      </c>
      <c r="E16" s="155">
        <f>G47^2*'Power Loss'!$B$63/1000/'Power Loss'!$B$71+'Power Loss'!$B$64*B47*10^(-6)*((A16+0.5*E47)*'Power Loss'!$B$69+(A16-0.5*E47)*'Power Loss'!$B$70)+0.5*'Power Loss'!$B$65*Vin* B47*10^(-6)*'Power Loss'!$B$71+'Power Loss'!$B$68*10^(-9)*'Power Loss'!$B$71*Vin^2*B47*1000/2</f>
        <v>8.9686270547262095E-3</v>
      </c>
      <c r="F16" s="155">
        <f>B47*'Power Loss'!$B$79*'Power Loss'!$B$49*10^(-6)*'Power Loss'!$B$54+B47*'Power Loss'!$B$80*'Power Loss'!$B$66*10^(-6)*'Power Loss'!$B$71+'Power Loss'!$B$80*'Power Loss'!$B$81*0.001</f>
        <v>3.038588057440153E-2</v>
      </c>
      <c r="G16" s="155">
        <f t="shared" si="2"/>
        <v>6.0601057136284338E-3</v>
      </c>
      <c r="H16" s="155">
        <f>(0.5*E47/SQRT(3))^2*'Power Loss'!$B$33/'Power Loss'!$B$31/1000</f>
        <v>3.5881085963966781E-4</v>
      </c>
      <c r="I16" s="97"/>
      <c r="J16" s="38"/>
      <c r="K16" s="38"/>
    </row>
    <row r="17" spans="1:11" s="37" customFormat="1" ht="13" customHeight="1">
      <c r="A17" s="152">
        <f>Imin+(Imax-Imin)*0.006</f>
        <v>2.1994000000000003E-2</v>
      </c>
      <c r="B17" s="153">
        <f t="shared" si="0"/>
        <v>7.2110474615151091E-2</v>
      </c>
      <c r="C17" s="154">
        <f t="shared" si="1"/>
        <v>60.396371567261568</v>
      </c>
      <c r="D17" s="155">
        <f>F48^2*Ron_u/'Power Loss'!$B$54/1000+Vin*(A17-0.5*E48)*'Power Loss'!$B$52*10^(-9)*B48*10^(3)/2+Vin*(A17+0.5*E48)*'Power Loss'!$B$53*10^(-9)*Fs*10^(3)/2+Vin*B48*10^3*'Power Loss'!$B$48*10^(-9)*'Power Loss'!$B$54+0.5*'Power Loss'!$B$51*10^(-9)*Vin^2*B48*10^3*'Power Loss'!$B$54</f>
        <v>2.6183179753244405E-2</v>
      </c>
      <c r="E17" s="155">
        <f>G48^2*'Power Loss'!$B$63/1000/'Power Loss'!$B$71+'Power Loss'!$B$64*B48*10^(-6)*((A17+0.5*E48)*'Power Loss'!$B$69+(A17-0.5*E48)*'Power Loss'!$B$70)+0.5*'Power Loss'!$B$65*Vin* B48*10^(-6)*'Power Loss'!$B$71+'Power Loss'!$B$68*10^(-9)*'Power Loss'!$B$71*Vin^2*B48*1000/2</f>
        <v>9.0854786936264871E-3</v>
      </c>
      <c r="F17" s="155">
        <f>B48*'Power Loss'!$B$79*'Power Loss'!$B$49*10^(-6)*'Power Loss'!$B$54+B48*'Power Loss'!$B$80*'Power Loss'!$B$66*10^(-6)*'Power Loss'!$B$71+'Power Loss'!$B$80*'Power Loss'!$B$81*0.001</f>
        <v>3.0388687528201119E-2</v>
      </c>
      <c r="G17" s="155">
        <f t="shared" si="2"/>
        <v>6.0942359878995746E-3</v>
      </c>
      <c r="H17" s="155">
        <f>(0.5*E48/SQRT(3))^2*'Power Loss'!$B$33/'Power Loss'!$B$31/1000</f>
        <v>3.5889265217950916E-4</v>
      </c>
      <c r="I17" s="97"/>
      <c r="J17" s="38"/>
      <c r="K17" s="38"/>
    </row>
    <row r="18" spans="1:11" s="37" customFormat="1" ht="13" customHeight="1">
      <c r="A18" s="152">
        <f>Imin+(Imax-Imin)*0.008</f>
        <v>2.8992000000000004E-2</v>
      </c>
      <c r="B18" s="153">
        <f t="shared" si="0"/>
        <v>7.2644071160725035E-2</v>
      </c>
      <c r="C18" s="154">
        <f t="shared" si="1"/>
        <v>66.616400707379583</v>
      </c>
      <c r="D18" s="155">
        <f>F49^2*Ron_u/'Power Loss'!$B$54/1000+Vin*(A18-0.5*E49)*'Power Loss'!$B$52*10^(-9)*B49*10^(3)/2+Vin*(A18+0.5*E49)*'Power Loss'!$B$53*10^(-9)*Fs*10^(3)/2+Vin*B49*10^3*'Power Loss'!$B$48*10^(-9)*'Power Loss'!$B$54+0.5*'Power Loss'!$B$51*10^(-9)*Vin^2*B49*10^3*'Power Loss'!$B$54</f>
        <v>2.6556769429428959E-2</v>
      </c>
      <c r="E18" s="155">
        <f>G49^2*'Power Loss'!$B$63/1000/'Power Loss'!$B$71+'Power Loss'!$B$64*B49*10^(-6)*((A18+0.5*E49)*'Power Loss'!$B$69+(A18-0.5*E49)*'Power Loss'!$B$70)+0.5*'Power Loss'!$B$65*Vin* B49*10^(-6)*'Power Loss'!$B$71+'Power Loss'!$B$68*10^(-9)*'Power Loss'!$B$71*Vin^2*B49*1000/2</f>
        <v>9.2073784202213859E-3</v>
      </c>
      <c r="F18" s="155">
        <f>B49*'Power Loss'!$B$79*'Power Loss'!$B$49*10^(-6)*'Power Loss'!$B$54+B49*'Power Loss'!$B$80*'Power Loss'!$B$66*10^(-6)*'Power Loss'!$B$71+'Power Loss'!$B$80*'Power Loss'!$B$81*0.001</f>
        <v>3.0391535617642577E-2</v>
      </c>
      <c r="G18" s="155">
        <f t="shared" si="2"/>
        <v>6.1294132358511375E-3</v>
      </c>
      <c r="H18" s="155">
        <f>(0.5*E49/SQRT(3))^2*'Power Loss'!$B$33/'Power Loss'!$B$31/1000</f>
        <v>3.5897445758096522E-4</v>
      </c>
      <c r="I18" s="97"/>
      <c r="J18" s="38"/>
      <c r="K18" s="38"/>
    </row>
    <row r="19" spans="1:11" s="37" customFormat="1" ht="13" customHeight="1">
      <c r="A19" s="152">
        <f>Imin+(Imax-Imin)*0.01</f>
        <v>3.5990000000000001E-2</v>
      </c>
      <c r="B19" s="153">
        <f t="shared" si="0"/>
        <v>7.3188846620394446E-2</v>
      </c>
      <c r="C19" s="154">
        <f t="shared" si="1"/>
        <v>71.087469348334352</v>
      </c>
      <c r="D19" s="155">
        <f>F50^2*Ron_u/'Power Loss'!$B$54/1000+Vin*(A19-0.5*E50)*'Power Loss'!$B$52*10^(-9)*B50*10^(3)/2+Vin*(A19+0.5*E50)*'Power Loss'!$B$53*10^(-9)*Fs*10^(3)/2+Vin*B50*10^3*'Power Loss'!$B$48*10^(-9)*'Power Loss'!$B$54+0.5*'Power Loss'!$B$51*10^(-9)*Vin^2*B50*10^3*'Power Loss'!$B$54</f>
        <v>2.693535324174615E-2</v>
      </c>
      <c r="E19" s="155">
        <f>G50^2*'Power Loss'!$B$63/1000/'Power Loss'!$B$71+'Power Loss'!$B$64*B50*10^(-6)*((A19+0.5*E50)*'Power Loss'!$B$69+(A19-0.5*E50)*'Power Loss'!$B$70)+0.5*'Power Loss'!$B$65*Vin* B50*10^(-6)*'Power Loss'!$B$71+'Power Loss'!$B$68*10^(-9)*'Power Loss'!$B$71*Vin^2*B50*1000/2</f>
        <v>9.3343600744957567E-3</v>
      </c>
      <c r="F19" s="155">
        <f>B50*'Power Loss'!$B$79*'Power Loss'!$B$49*10^(-6)*'Power Loss'!$B$54+B50*'Power Loss'!$B$80*'Power Loss'!$B$66*10^(-6)*'Power Loss'!$B$71+'Power Loss'!$B$80*'Power Loss'!$B$81*0.001</f>
        <v>3.039442575365912E-2</v>
      </c>
      <c r="G19" s="155">
        <f t="shared" si="2"/>
        <v>6.1656512746479332E-3</v>
      </c>
      <c r="H19" s="155">
        <f>(0.5*E50/SQRT(3))^2*'Power Loss'!$B$33/'Power Loss'!$B$31/1000</f>
        <v>3.5905627584547609E-4</v>
      </c>
      <c r="I19" s="97"/>
      <c r="J19" s="38"/>
      <c r="K19" s="38"/>
    </row>
    <row r="20" spans="1:11" s="37" customFormat="1" ht="13" customHeight="1">
      <c r="A20" s="152">
        <f>Imin+(Imax-Imin)*0.02</f>
        <v>7.0980000000000001E-2</v>
      </c>
      <c r="B20" s="153">
        <f t="shared" si="0"/>
        <v>7.6083056930598525E-2</v>
      </c>
      <c r="C20" s="154">
        <f t="shared" si="1"/>
        <v>82.34662460458388</v>
      </c>
      <c r="D20" s="155">
        <f>F51^2*Ron_u/'Power Loss'!$B$54/1000+Vin*(A20-0.5*E51)*'Power Loss'!$B$52*10^(-9)*B51*10^(3)/2+Vin*(A20+0.5*E51)*'Power Loss'!$B$53*10^(-9)*Fs*10^(3)/2+Vin*B51*10^3*'Power Loss'!$B$48*10^(-9)*'Power Loss'!$B$54+0.5*'Power Loss'!$B$51*10^(-9)*Vin^2*B51*10^3*'Power Loss'!$B$54</f>
        <v>2.8904024977427091E-2</v>
      </c>
      <c r="E20" s="155">
        <f>G51^2*'Power Loss'!$B$63/1000/'Power Loss'!$B$71+'Power Loss'!$B$64*B51*10^(-6)*((A20+0.5*E51)*'Power Loss'!$B$69+(A20-0.5*E51)*'Power Loss'!$B$70)+0.5*'Power Loss'!$B$65*Vin* B51*10^(-6)*'Power Loss'!$B$71+'Power Loss'!$B$68*10^(-9)*'Power Loss'!$B$71*Vin^2*B51*1000/2</f>
        <v>1.0046756104224407E-2</v>
      </c>
      <c r="F20" s="155">
        <f>B51*'Power Loss'!$B$79*'Power Loss'!$B$49*10^(-6)*'Power Loss'!$B$54+B51*'Power Loss'!$B$80*'Power Loss'!$B$66*10^(-6)*'Power Loss'!$B$71+'Power Loss'!$B$80*'Power Loss'!$B$81*0.001</f>
        <v>3.0409540969926829E-2</v>
      </c>
      <c r="G20" s="155">
        <f t="shared" si="2"/>
        <v>6.3632693188559351E-3</v>
      </c>
      <c r="H20" s="155">
        <f>(0.5*E51/SQRT(3))^2*'Power Loss'!$B$33/'Power Loss'!$B$31/1000</f>
        <v>3.5946556016426421E-4</v>
      </c>
      <c r="I20" s="97"/>
      <c r="J20" s="38"/>
      <c r="K20" s="38"/>
    </row>
    <row r="21" spans="1:11" s="37" customFormat="1" ht="13" customHeight="1">
      <c r="A21" s="152">
        <f>Imin+(Imax-Imin)*0.04</f>
        <v>0.14096</v>
      </c>
      <c r="B21" s="153">
        <f t="shared" si="0"/>
        <v>8.2757744798342192E-2</v>
      </c>
      <c r="C21" s="154">
        <f t="shared" si="1"/>
        <v>89.491850553824122</v>
      </c>
      <c r="D21" s="155">
        <f>F52^2*Ron_u/'Power Loss'!$B$54/1000+Vin*(A21-0.5*E52)*'Power Loss'!$B$52*10^(-9)*B52*10^(3)/2+Vin*(A21+0.5*E52)*'Power Loss'!$B$53*10^(-9)*Fs*10^(3)/2+Vin*B52*10^3*'Power Loss'!$B$48*10^(-9)*'Power Loss'!$B$54+0.5*'Power Loss'!$B$51*10^(-9)*Vin^2*B52*10^3*'Power Loss'!$B$54</f>
        <v>3.3231017619511492E-2</v>
      </c>
      <c r="E21" s="155">
        <f>G52^2*'Power Loss'!$B$63/1000/'Power Loss'!$B$71+'Power Loss'!$B$64*B52*10^(-6)*((A21+0.5*E52)*'Power Loss'!$B$69+(A21-0.5*E52)*'Power Loss'!$B$70)+0.5*'Power Loss'!$B$65*Vin* B52*10^(-6)*'Power Loss'!$B$71+'Power Loss'!$B$68*10^(-9)*'Power Loss'!$B$71*Vin^2*B52*1000/2</f>
        <v>1.1875451794306401E-2</v>
      </c>
      <c r="F21" s="155">
        <f>B52*'Power Loss'!$B$79*'Power Loss'!$B$49*10^(-6)*'Power Loss'!$B$54+B52*'Power Loss'!$B$80*'Power Loss'!$B$66*10^(-6)*'Power Loss'!$B$71+'Power Loss'!$B$80*'Power Loss'!$B$81*0.001</f>
        <v>3.0443535367833043E-2</v>
      </c>
      <c r="G21" s="155">
        <f t="shared" si="2"/>
        <v>6.8474549223317624E-3</v>
      </c>
      <c r="H21" s="155">
        <f>(0.5*E52/SQRT(3))^2*'Power Loss'!$B$33/'Power Loss'!$B$31/1000</f>
        <v>3.602850943594737E-4</v>
      </c>
      <c r="I21" s="97"/>
      <c r="J21" s="38"/>
      <c r="K21" s="38"/>
    </row>
    <row r="22" spans="1:11" s="37" customFormat="1" ht="13" customHeight="1">
      <c r="A22" s="152">
        <f>Imin+(Imax-Imin)*0.06</f>
        <v>0.21093999999999999</v>
      </c>
      <c r="B22" s="153">
        <f t="shared" si="0"/>
        <v>9.0703415373966326E-2</v>
      </c>
      <c r="C22" s="154">
        <f t="shared" si="1"/>
        <v>92.081094385042292</v>
      </c>
      <c r="D22" s="155">
        <f>F53^2*Ron_u/'Power Loss'!$B$54/1000+Vin*(A22-0.5*E53)*'Power Loss'!$B$52*10^(-9)*B53*10^(3)/2+Vin*(A22+0.5*E53)*'Power Loss'!$B$53*10^(-9)*Fs*10^(3)/2+Vin*B53*10^3*'Power Loss'!$B$48*10^(-9)*'Power Loss'!$B$54+0.5*'Power Loss'!$B$51*10^(-9)*Vin^2*B53*10^3*'Power Loss'!$B$54</f>
        <v>3.8105290651722495E-2</v>
      </c>
      <c r="E22" s="155">
        <f>G53^2*'Power Loss'!$B$63/1000/'Power Loss'!$B$71+'Power Loss'!$B$64*B53*10^(-6)*((A22+0.5*E53)*'Power Loss'!$B$69+(A22-0.5*E53)*'Power Loss'!$B$70)+0.5*'Power Loss'!$B$65*Vin* B53*10^(-6)*'Power Loss'!$B$71+'Power Loss'!$B$68*10^(-9)*'Power Loss'!$B$71*Vin^2*B53*1000/2</f>
        <v>1.4285227033459231E-2</v>
      </c>
      <c r="F22" s="155">
        <f>B53*'Power Loss'!$B$79*'Power Loss'!$B$49*10^(-6)*'Power Loss'!$B$54+B53*'Power Loss'!$B$80*'Power Loss'!$B$66*10^(-6)*'Power Loss'!$B$71+'Power Loss'!$B$80*'Power Loss'!$B$81*0.001</f>
        <v>3.0483684097452571E-2</v>
      </c>
      <c r="G22" s="155">
        <f t="shared" si="2"/>
        <v>7.46810767416524E-3</v>
      </c>
      <c r="H22" s="155">
        <f>(0.5*E53/SQRT(3))^2*'Power Loss'!$B$33/'Power Loss'!$B$31/1000</f>
        <v>3.6110591716678096E-4</v>
      </c>
      <c r="I22" s="97"/>
      <c r="J22" s="38"/>
      <c r="K22" s="38"/>
    </row>
    <row r="23" spans="1:11" s="37" customFormat="1" ht="13" customHeight="1">
      <c r="A23" s="152">
        <f>Imin+(Imax-Imin)*0.08</f>
        <v>0.28092</v>
      </c>
      <c r="B23" s="153">
        <f>SUM(D23:H23)</f>
        <v>0.10012540851972691</v>
      </c>
      <c r="C23" s="154">
        <f>Vout*A23/(Vout*A23+B23)*100</f>
        <v>93.345934882682329</v>
      </c>
      <c r="D23" s="155">
        <f>F54^2*Ron_u/'Power Loss'!$B$54/1000+Vin*(A23-0.5*E54)*'Power Loss'!$B$52*10^(-9)*B54*10^(3)/2+Vin*(A23+0.5*E54)*'Power Loss'!$B$53*10^(-9)*Fs*10^(3)/2+Vin*B54*10^3*'Power Loss'!$B$48*10^(-9)*'Power Loss'!$B$54+0.5*'Power Loss'!$B$51*10^(-9)*Vin^2*B54*10^3*'Power Loss'!$B$54</f>
        <v>4.3608060438234411E-2</v>
      </c>
      <c r="E23" s="155">
        <f>G54^2*'Power Loss'!$B$63/1000/'Power Loss'!$B$71+'Power Loss'!$B$64*B54*10^(-6)*((A23+0.5*E54)*'Power Loss'!$B$69+(A23-0.5*E54)*'Power Loss'!$B$70)+0.5*'Power Loss'!$B$65*Vin* B54*10^(-6)*'Power Loss'!$B$71+'Power Loss'!$B$68*10^(-9)*'Power Loss'!$B$71*Vin^2*B54*1000/2</f>
        <v>1.7348475620678656E-2</v>
      </c>
      <c r="F23" s="155">
        <f>B54*'Power Loss'!$B$79*'Power Loss'!$B$49*10^(-6)*'Power Loss'!$B$54+B54*'Power Loss'!$B$80*'Power Loss'!$B$66*10^(-6)*'Power Loss'!$B$71+'Power Loss'!$B$80*'Power Loss'!$B$81*0.001</f>
        <v>3.0531824765016306E-2</v>
      </c>
      <c r="G23" s="155">
        <f t="shared" si="2"/>
        <v>8.2742962614026569E-3</v>
      </c>
      <c r="H23" s="155">
        <f>(0.5*E54/SQRT(3))^2*'Power Loss'!$B$33/'Power Loss'!$B$31/1000</f>
        <v>3.6275143439489258E-4</v>
      </c>
      <c r="I23" s="97"/>
      <c r="J23" s="38"/>
      <c r="K23" s="38"/>
    </row>
    <row r="24" spans="1:11" s="29" customFormat="1" ht="13" customHeight="1">
      <c r="A24" s="152">
        <f>Imin+(Imax-Imin)*0.1</f>
        <v>0.35090000000000005</v>
      </c>
      <c r="B24" s="153">
        <f t="shared" si="0"/>
        <v>0.11120576737676459</v>
      </c>
      <c r="C24" s="154">
        <f t="shared" si="1"/>
        <v>94.039479894349952</v>
      </c>
      <c r="D24" s="155">
        <f>F55^2*Ron_u/'Power Loss'!$B$54/1000+Vin*(A24-0.5*E55)*'Power Loss'!$B$52*10^(-9)*B55*10^(3)/2+Vin*(A24+0.5*E55)*'Power Loss'!$B$53*10^(-9)*Fs*10^(3)/2+Vin*B55*10^3*'Power Loss'!$B$48*10^(-9)*'Power Loss'!$B$54+0.5*'Power Loss'!$B$51*10^(-9)*Vin^2*B55*10^3*'Power Loss'!$B$54</f>
        <v>4.9784860477332916E-2</v>
      </c>
      <c r="E24" s="155">
        <f>G55^2*'Power Loss'!$B$63/1000/'Power Loss'!$B$71+'Power Loss'!$B$64*B55*10^(-6)*((A24+0.5*E55)*'Power Loss'!$B$69+(A24-0.5*E55)*'Power Loss'!$B$70)+0.5*'Power Loss'!$B$65*Vin* B55*10^(-6)*'Power Loss'!$B$71+'Power Loss'!$B$68*10^(-9)*'Power Loss'!$B$71*Vin^2*B55*1000/2</f>
        <v>2.1159875444488122E-2</v>
      </c>
      <c r="F24" s="155">
        <f>B55*'Power Loss'!$B$79*'Power Loss'!$B$49*10^(-6)*'Power Loss'!$B$54+B55*'Power Loss'!$B$80*'Power Loss'!$B$66*10^(-6)*'Power Loss'!$B$71+'Power Loss'!$B$80*'Power Loss'!$B$81*0.001</f>
        <v>3.0590607420103871E-2</v>
      </c>
      <c r="G24" s="155">
        <f t="shared" si="2"/>
        <v>9.3056084297101771E-3</v>
      </c>
      <c r="H24" s="155">
        <f>(0.5*E55/SQRT(3))^2*'Power Loss'!$B$33/'Power Loss'!$B$31/1000</f>
        <v>3.648156051294955E-4</v>
      </c>
      <c r="I24" s="17"/>
      <c r="J24" s="4"/>
      <c r="K24" s="4"/>
    </row>
    <row r="25" spans="1:11" s="29" customFormat="1" ht="13" customHeight="1">
      <c r="A25" s="152">
        <f>Imin+(Imax-Imin)*0.15</f>
        <v>0.52585000000000004</v>
      </c>
      <c r="B25" s="153">
        <f t="shared" ref="B25:B38" si="3">SUM(D25:H25)</f>
        <v>0.14836890277690618</v>
      </c>
      <c r="C25" s="154">
        <f t="shared" ref="C25:C38" si="4">Vout*A25/(Vout*A25+B25)*100</f>
        <v>94.658413988017742</v>
      </c>
      <c r="D25" s="155">
        <f>F56^2*Ron_u/'Power Loss'!$B$54/1000+Vin*(A25-0.5*E56)*'Power Loss'!$B$52*10^(-9)*B56*10^(3)/2+Vin*(A25+0.5*E56)*'Power Loss'!$B$53*10^(-9)*Fs*10^(3)/2+Vin*B56*10^3*'Power Loss'!$B$48*10^(-9)*'Power Loss'!$B$54+0.5*'Power Loss'!$B$51*10^(-9)*Vin^2*B56*10^3*'Power Loss'!$B$54</f>
        <v>6.8711940852588041E-2</v>
      </c>
      <c r="E25" s="155">
        <f>G56^2*'Power Loss'!$B$63/1000/'Power Loss'!$B$71+'Power Loss'!$B$64*B56*10^(-6)*((A25+0.5*E56)*'Power Loss'!$B$69+(A25-0.5*E56)*'Power Loss'!$B$70)+0.5*'Power Loss'!$B$65*Vin* B56*10^(-6)*'Power Loss'!$B$71+'Power Loss'!$B$68*10^(-9)*'Power Loss'!$B$71*Vin^2*B56*1000/2</f>
        <v>3.5167839043118265E-2</v>
      </c>
      <c r="F25" s="155">
        <f>B56*'Power Loss'!$B$79*'Power Loss'!$B$49*10^(-6)*'Power Loss'!$B$54+B56*'Power Loss'!$B$80*'Power Loss'!$B$66*10^(-6)*'Power Loss'!$B$71+'Power Loss'!$B$80*'Power Loss'!$B$81*0.001</f>
        <v>3.0816122796707764E-2</v>
      </c>
      <c r="G25" s="155">
        <f t="shared" si="2"/>
        <v>1.3306112205027285E-2</v>
      </c>
      <c r="H25" s="155">
        <f>(0.5*E56/SQRT(3))^2*'Power Loss'!$B$33/'Power Loss'!$B$31/1000</f>
        <v>3.6688787946481547E-4</v>
      </c>
      <c r="I25" s="17"/>
      <c r="J25" s="4"/>
      <c r="K25" s="4"/>
    </row>
    <row r="26" spans="1:11" s="29" customFormat="1" ht="13" customHeight="1">
      <c r="A26" s="152">
        <f>Imin+(Imax-Imin)*0.2</f>
        <v>0.70080000000000009</v>
      </c>
      <c r="B26" s="153">
        <f t="shared" si="3"/>
        <v>0.20243544839536753</v>
      </c>
      <c r="C26" s="154">
        <f t="shared" si="4"/>
        <v>94.538271306383919</v>
      </c>
      <c r="D26" s="155">
        <f>F57^2*Ron_u/'Power Loss'!$B$54/1000+Vin*(A26-0.5*E57)*'Power Loss'!$B$52*10^(-9)*B57*10^(3)/2+Vin*(A26+0.5*E57)*'Power Loss'!$B$53*10^(-9)*Fs*10^(3)/2+Vin*B57*10^3*'Power Loss'!$B$48*10^(-9)*'Power Loss'!$B$54+0.5*'Power Loss'!$B$51*10^(-9)*Vin^2*B57*10^3*'Power Loss'!$B$54</f>
        <v>9.4781330558197138E-2</v>
      </c>
      <c r="E26" s="155">
        <f>G57^2*'Power Loss'!$B$63/1000/'Power Loss'!$B$71+'Power Loss'!$B$64*B57*10^(-6)*((A26+0.5*E57)*'Power Loss'!$B$69+(A26-0.5*E57)*'Power Loss'!$B$70)+0.5*'Power Loss'!$B$65*Vin* B57*10^(-6)*'Power Loss'!$B$71+'Power Loss'!$B$68*10^(-9)*'Power Loss'!$B$71*Vin^2*B57*1000/2</f>
        <v>5.6533708560447413E-2</v>
      </c>
      <c r="F26" s="155">
        <f>B57*'Power Loss'!$B$79*'Power Loss'!$B$49*10^(-6)*'Power Loss'!$B$54+B57*'Power Loss'!$B$80*'Power Loss'!$B$66*10^(-6)*'Power Loss'!$B$71+'Power Loss'!$B$80*'Power Loss'!$B$81*0.001</f>
        <v>3.1139999999999998E-2</v>
      </c>
      <c r="G26" s="155">
        <f t="shared" si="2"/>
        <v>1.9611440996587702E-2</v>
      </c>
      <c r="H26" s="155">
        <f>(0.5*E57/SQRT(3))^2*'Power Loss'!$B$33/'Power Loss'!$B$31/1000</f>
        <v>3.6896828013528482E-4</v>
      </c>
      <c r="I26" s="17"/>
      <c r="J26" s="4"/>
      <c r="K26" s="4"/>
    </row>
    <row r="27" spans="1:11" s="29" customFormat="1" ht="13" customHeight="1">
      <c r="A27" s="152">
        <f>Imin+(Imax-Imin)*0.25</f>
        <v>0.87575000000000003</v>
      </c>
      <c r="B27" s="153">
        <f t="shared" si="3"/>
        <v>0.24727662319751023</v>
      </c>
      <c r="C27" s="154">
        <f t="shared" si="4"/>
        <v>94.654664935183789</v>
      </c>
      <c r="D27" s="155">
        <f>F58^2*Ron_u/'Power Loss'!$B$54/1000+Vin*(A27-0.5*E58)*'Power Loss'!$B$52*10^(-9)*B58*10^(3)/2+Vin*(A27+0.5*E58)*'Power Loss'!$B$53*10^(-9)*Fs*10^(3)/2+Vin*B58*10^3*'Power Loss'!$B$48*10^(-9)*'Power Loss'!$B$54+0.5*'Power Loss'!$B$51*10^(-9)*Vin^2*B58*10^3*'Power Loss'!$B$54</f>
        <v>0.1226151409630982</v>
      </c>
      <c r="E27" s="155">
        <f>G58^2*'Power Loss'!$B$63/1000/'Power Loss'!$B$71+'Power Loss'!$B$64*B58*10^(-6)*((A27+0.5*E58)*'Power Loss'!$B$69+(A27-0.5*E58)*'Power Loss'!$B$70)+0.5*'Power Loss'!$B$65*Vin* B58*10^(-6)*'Power Loss'!$B$71+'Power Loss'!$B$68*10^(-9)*'Power Loss'!$B$71*Vin^2*B58*1000/2</f>
        <v>7.1941876173726216E-2</v>
      </c>
      <c r="F27" s="155">
        <f>B58*'Power Loss'!$B$79*'Power Loss'!$B$49*10^(-6)*'Power Loss'!$B$54+B58*'Power Loss'!$B$80*'Power Loss'!$B$66*10^(-6)*'Power Loss'!$B$71+'Power Loss'!$B$80*'Power Loss'!$B$81*0.001</f>
        <v>3.1139999999999998E-2</v>
      </c>
      <c r="G27" s="155">
        <f t="shared" si="2"/>
        <v>2.120645250891574E-2</v>
      </c>
      <c r="H27" s="155">
        <f>(0.5*E58/SQRT(3))^2*'Power Loss'!$B$33/'Power Loss'!$B$31/1000</f>
        <v>3.7315355177008002E-4</v>
      </c>
      <c r="I27" s="17"/>
      <c r="J27" s="4"/>
      <c r="K27" s="4"/>
    </row>
    <row r="28" spans="1:11" s="29" customFormat="1" ht="13" customHeight="1">
      <c r="A28" s="152">
        <f>Imin+(Imax-Imin)*0.35</f>
        <v>1.2256499999999999</v>
      </c>
      <c r="B28" s="153">
        <f t="shared" si="3"/>
        <v>0.35149927668807357</v>
      </c>
      <c r="C28" s="154">
        <f t="shared" si="4"/>
        <v>94.575418558976537</v>
      </c>
      <c r="D28" s="155">
        <f>F59^2*Ron_u/'Power Loss'!$B$54/1000+Vin*(A28-0.5*E59)*'Power Loss'!$B$52*10^(-9)*B59*10^(3)/2+Vin*(A28+0.5*E59)*'Power Loss'!$B$53*10^(-9)*Fs*10^(3)/2+Vin*B59*10^3*'Power Loss'!$B$48*10^(-9)*'Power Loss'!$B$54+0.5*'Power Loss'!$B$51*10^(-9)*Vin^2*B59*10^3*'Power Loss'!$B$54</f>
        <v>0.18578630927913986</v>
      </c>
      <c r="E28" s="155">
        <f>G59^2*'Power Loss'!$B$63/1000/'Power Loss'!$B$71+'Power Loss'!$B$64*B59*10^(-6)*((A28+0.5*E59)*'Power Loss'!$B$69+(A28-0.5*E59)*'Power Loss'!$B$70)+0.5*'Power Loss'!$B$65*Vin* B59*10^(-6)*'Power Loss'!$B$71+'Power Loss'!$B$68*10^(-9)*'Power Loss'!$B$71*Vin^2*B59*1000/2</f>
        <v>0.10920615940021192</v>
      </c>
      <c r="F28" s="155">
        <f>B59*'Power Loss'!$B$79*'Power Loss'!$B$49*10^(-6)*'Power Loss'!$B$54+B59*'Power Loss'!$B$80*'Power Loss'!$B$66*10^(-6)*'Power Loss'!$B$71+'Power Loss'!$B$80*'Power Loss'!$B$81*0.001</f>
        <v>3.1139999999999998E-2</v>
      </c>
      <c r="G28" s="155">
        <f t="shared" si="2"/>
        <v>2.4991549540167055E-2</v>
      </c>
      <c r="H28" s="155">
        <f>(0.5*E59/SQRT(3))^2*'Power Loss'!$B$33/'Power Loss'!$B$31/1000</f>
        <v>3.7525846855469104E-4</v>
      </c>
      <c r="I28" s="17"/>
      <c r="J28" s="4"/>
      <c r="K28" s="4"/>
    </row>
    <row r="29" spans="1:11" s="29" customFormat="1" ht="13" customHeight="1">
      <c r="A29" s="152">
        <f>Imin+(Imax-Imin)*0.4</f>
        <v>1.4006000000000001</v>
      </c>
      <c r="B29" s="153">
        <f t="shared" si="3"/>
        <v>0.4112684985044549</v>
      </c>
      <c r="C29" s="154">
        <f t="shared" si="4"/>
        <v>94.45301315177062</v>
      </c>
      <c r="D29" s="155">
        <f>F60^2*Ron_u/'Power Loss'!$B$54/1000+Vin*(A29-0.5*E60)*'Power Loss'!$B$52*10^(-9)*B60*10^(3)/2+Vin*(A29+0.5*E60)*'Power Loss'!$B$53*10^(-9)*Fs*10^(3)/2+Vin*B60*10^3*'Power Loss'!$B$48*10^(-9)*'Power Loss'!$B$54+0.5*'Power Loss'!$B$51*10^(-9)*Vin^2*B60*10^3*'Power Loss'!$B$54</f>
        <v>0.22141305860712374</v>
      </c>
      <c r="E29" s="155">
        <f>G60^2*'Power Loss'!$B$63/1000/'Power Loss'!$B$71+'Power Loss'!$B$64*B60*10^(-6)*((A29+0.5*E60)*'Power Loss'!$B$69+(A29-0.5*E60)*'Power Loss'!$B$70)+0.5*'Power Loss'!$B$65*Vin* B60*10^(-6)*'Power Loss'!$B$71+'Power Loss'!$B$68*10^(-9)*'Power Loss'!$B$71*Vin^2*B60*1000/2</f>
        <v>0.13094001628091476</v>
      </c>
      <c r="F29" s="155">
        <f>B60*'Power Loss'!$B$79*'Power Loss'!$B$49*10^(-6)*'Power Loss'!$B$54+B60*'Power Loss'!$B$80*'Power Loss'!$B$66*10^(-6)*'Power Loss'!$B$71+'Power Loss'!$B$80*'Power Loss'!$B$81*0.001</f>
        <v>3.1139999999999998E-2</v>
      </c>
      <c r="G29" s="155">
        <f t="shared" si="2"/>
        <v>2.7398052013100943E-2</v>
      </c>
      <c r="H29" s="155">
        <f>(0.5*E60/SQRT(3))^2*'Power Loss'!$B$33/'Power Loss'!$B$31/1000</f>
        <v>3.7737160331551814E-4</v>
      </c>
      <c r="I29" s="17"/>
      <c r="J29" s="4"/>
      <c r="K29" s="4"/>
    </row>
    <row r="30" spans="1:11" s="29" customFormat="1" ht="13" customHeight="1">
      <c r="A30" s="152">
        <f>Imin+(Imax-Imin)*0.45</f>
        <v>1.57555</v>
      </c>
      <c r="B30" s="153">
        <f t="shared" si="3"/>
        <v>0.47609206886818212</v>
      </c>
      <c r="C30" s="154">
        <f t="shared" si="4"/>
        <v>94.300920882351733</v>
      </c>
      <c r="D30" s="155">
        <f>F61^2*Ron_u/'Power Loss'!$B$54/1000+Vin*(A30-0.5*E61)*'Power Loss'!$B$52*10^(-9)*B61*10^(3)/2+Vin*(A30+0.5*E61)*'Power Loss'!$B$53*10^(-9)*Fs*10^(3)/2+Vin*B61*10^3*'Power Loss'!$B$48*10^(-9)*'Power Loss'!$B$54+0.5*'Power Loss'!$B$51*10^(-9)*Vin^2*B61*10^3*'Power Loss'!$B$54</f>
        <v>0.25972191950011231</v>
      </c>
      <c r="E30" s="155">
        <f>G61^2*'Power Loss'!$B$63/1000/'Power Loss'!$B$71+'Power Loss'!$B$64*B61*10^(-6)*((A30+0.5*E61)*'Power Loss'!$B$69+(A30-0.5*E61)*'Power Loss'!$B$70)+0.5*'Power Loss'!$B$65*Vin* B61*10^(-6)*'Power Loss'!$B$71+'Power Loss'!$B$68*10^(-9)*'Power Loss'!$B$71*Vin^2*B61*1000/2</f>
        <v>0.15473953266691354</v>
      </c>
      <c r="F30" s="155">
        <f>B61*'Power Loss'!$B$79*'Power Loss'!$B$49*10^(-6)*'Power Loss'!$B$54+B61*'Power Loss'!$B$80*'Power Loss'!$B$66*10^(-6)*'Power Loss'!$B$71+'Power Loss'!$B$80*'Power Loss'!$B$81*0.001</f>
        <v>3.1139999999999998E-2</v>
      </c>
      <c r="G30" s="155">
        <f t="shared" si="2"/>
        <v>3.0111123722016329E-2</v>
      </c>
      <c r="H30" s="155">
        <f>(0.5*E61/SQRT(3))^2*'Power Loss'!$B$33/'Power Loss'!$B$31/1000</f>
        <v>3.7949297913990256E-4</v>
      </c>
      <c r="I30" s="17"/>
      <c r="J30" s="4"/>
      <c r="K30" s="4"/>
    </row>
    <row r="31" spans="1:11" s="29" customFormat="1" ht="13" customHeight="1">
      <c r="A31" s="152">
        <f>Imin+(Imax-Imin)*0.5</f>
        <v>1.7504999999999999</v>
      </c>
      <c r="B31" s="153">
        <f t="shared" si="3"/>
        <v>0.54597824005247553</v>
      </c>
      <c r="C31" s="154">
        <f t="shared" si="4"/>
        <v>94.128305450017436</v>
      </c>
      <c r="D31" s="155">
        <f>F62^2*Ron_u/'Power Loss'!$B$54/1000+Vin*(A31-0.5*E62)*'Power Loss'!$B$52*10^(-9)*B62*10^(3)/2+Vin*(A31+0.5*E62)*'Power Loss'!$B$53*10^(-9)*Fs*10^(3)/2+Vin*B62*10^3*'Power Loss'!$B$48*10^(-9)*'Power Loss'!$B$54+0.5*'Power Loss'!$B$51*10^(-9)*Vin^2*B62*10^3*'Power Loss'!$B$54</f>
        <v>0.30073470295422317</v>
      </c>
      <c r="E31" s="155">
        <f>G62^2*'Power Loss'!$B$63/1000/'Power Loss'!$B$71+'Power Loss'!$B$64*B62*10^(-6)*((A31+0.5*E62)*'Power Loss'!$B$69+(A31-0.5*E62)*'Power Loss'!$B$70)+0.5*'Power Loss'!$B$65*Vin* B62*10^(-6)*'Power Loss'!$B$71+'Power Loss'!$B$68*10^(-9)*'Power Loss'!$B$71*Vin^2*B62*1000/2</f>
        <v>0.18059114814986377</v>
      </c>
      <c r="F31" s="155">
        <f>B62*'Power Loss'!$B$79*'Power Loss'!$B$49*10^(-6)*'Power Loss'!$B$54+B62*'Power Loss'!$B$80*'Power Loss'!$B$66*10^(-6)*'Power Loss'!$B$71+'Power Loss'!$B$80*'Power Loss'!$B$81*0.001</f>
        <v>3.1139999999999998E-2</v>
      </c>
      <c r="G31" s="155">
        <f t="shared" si="2"/>
        <v>3.3130766329202095E-2</v>
      </c>
      <c r="H31" s="155">
        <f>(0.5*E62/SQRT(3))^2*'Power Loss'!$B$33/'Power Loss'!$B$31/1000</f>
        <v>3.8162261918651518E-4</v>
      </c>
      <c r="I31" s="17"/>
      <c r="J31" s="4"/>
      <c r="K31" s="4"/>
    </row>
    <row r="32" spans="1:11" s="29" customFormat="1" ht="13" customHeight="1">
      <c r="A32" s="152">
        <f>Imin+(Imax-Imin)*0.55</f>
        <v>1.9254500000000001</v>
      </c>
      <c r="B32" s="153">
        <f t="shared" si="3"/>
        <v>0.62093528230578965</v>
      </c>
      <c r="C32" s="154">
        <f t="shared" si="4"/>
        <v>93.941022091219622</v>
      </c>
      <c r="D32" s="155">
        <f>F63^2*Ron_u/'Power Loss'!$B$54/1000+Vin*(A32-0.5*E63)*'Power Loss'!$B$52*10^(-9)*B63*10^(3)/2+Vin*(A32+0.5*E63)*'Power Loss'!$B$53*10^(-9)*Fs*10^(3)/2+Vin*B63*10^3*'Power Loss'!$B$48*10^(-9)*'Power Loss'!$B$54+0.5*'Power Loss'!$B$51*10^(-9)*Vin^2*B63*10^3*'Power Loss'!$B$54</f>
        <v>0.34447326746821971</v>
      </c>
      <c r="E32" s="155">
        <f>G63^2*'Power Loss'!$B$63/1000/'Power Loss'!$B$71+'Power Loss'!$B$64*B63*10^(-6)*((A32+0.5*E63)*'Power Loss'!$B$69+(A32-0.5*E63)*'Power Loss'!$B$70)+0.5*'Power Loss'!$B$65*Vin* B63*10^(-6)*'Power Loss'!$B$71+'Power Loss'!$B$68*10^(-9)*'Power Loss'!$B$71*Vin^2*B63*1000/2</f>
        <v>0.20848127278842604</v>
      </c>
      <c r="F32" s="155">
        <f>B63*'Power Loss'!$B$79*'Power Loss'!$B$49*10^(-6)*'Power Loss'!$B$54+B63*'Power Loss'!$B$80*'Power Loss'!$B$66*10^(-6)*'Power Loss'!$B$71+'Power Loss'!$B$80*'Power Loss'!$B$81*0.001</f>
        <v>3.1139999999999998E-2</v>
      </c>
      <c r="G32" s="155">
        <f t="shared" si="2"/>
        <v>3.6456981502458248E-2</v>
      </c>
      <c r="H32" s="155">
        <f>(0.5*E63/SQRT(3))^2*'Power Loss'!$B$33/'Power Loss'!$B$31/1000</f>
        <v>3.8376054668560832E-4</v>
      </c>
      <c r="I32" s="17"/>
      <c r="J32" s="4"/>
      <c r="K32" s="4"/>
    </row>
    <row r="33" spans="1:23" s="29" customFormat="1" ht="13" customHeight="1">
      <c r="A33" s="152">
        <f>Imin+(Imax-Imin)*0.6</f>
        <v>2.1004</v>
      </c>
      <c r="B33" s="153">
        <f t="shared" si="3"/>
        <v>0.7009714839007849</v>
      </c>
      <c r="C33" s="154">
        <f t="shared" si="4"/>
        <v>93.742986091608685</v>
      </c>
      <c r="D33" s="155">
        <f>F64^2*Ron_u/'Power Loss'!$B$54/1000+Vin*(A33-0.5*E64)*'Power Loss'!$B$52*10^(-9)*B64*10^(3)/2+Vin*(A33+0.5*E64)*'Power Loss'!$B$53*10^(-9)*Fs*10^(3)/2+Vin*B64*10^3*'Power Loss'!$B$48*10^(-9)*'Power Loss'!$B$54+0.5*'Power Loss'!$B$51*10^(-9)*Vin^2*B64*10^3*'Power Loss'!$B$54</f>
        <v>0.39095951917290822</v>
      </c>
      <c r="E33" s="155">
        <f>G64^2*'Power Loss'!$B$63/1000/'Power Loss'!$B$71+'Power Loss'!$B$64*B64*10^(-6)*((A33+0.5*E64)*'Power Loss'!$B$69+(A33-0.5*E64)*'Power Loss'!$B$70)+0.5*'Power Loss'!$B$65*Vin* B64*10^(-6)*'Power Loss'!$B$71+'Power Loss'!$B$68*10^(-9)*'Power Loss'!$B$71*Vin^2*B64*1000/2</f>
        <v>0.23839628702782023</v>
      </c>
      <c r="F33" s="155">
        <f>B64*'Power Loss'!$B$79*'Power Loss'!$B$49*10^(-6)*'Power Loss'!$B$54+B64*'Power Loss'!$B$80*'Power Loss'!$B$66*10^(-6)*'Power Loss'!$B$71+'Power Loss'!$B$80*'Power Loss'!$B$81*0.001</f>
        <v>3.1139999999999998E-2</v>
      </c>
      <c r="G33" s="155">
        <f t="shared" si="2"/>
        <v>4.008977091511725E-2</v>
      </c>
      <c r="H33" s="155">
        <f>(0.5*E64/SQRT(3))^2*'Power Loss'!$B$33/'Power Loss'!$B$31/1000</f>
        <v>3.8590678493926809E-4</v>
      </c>
      <c r="I33" s="17"/>
      <c r="J33" s="4"/>
      <c r="K33" s="4"/>
    </row>
    <row r="34" spans="1:23" s="29" customFormat="1" ht="13" customHeight="1">
      <c r="A34" s="152">
        <f>Imin+(Imax-Imin)*0.65</f>
        <v>2.27535</v>
      </c>
      <c r="B34" s="153">
        <f t="shared" si="3"/>
        <v>0.78609515118346163</v>
      </c>
      <c r="C34" s="154">
        <f t="shared" si="4"/>
        <v>93.536913925875524</v>
      </c>
      <c r="D34" s="155">
        <f>F65^2*Ron_u/'Power Loss'!$B$54/1000+Vin*(A34-0.5*E65)*'Power Loss'!$B$52*10^(-9)*B65*10^(3)/2+Vin*(A34+0.5*E65)*'Power Loss'!$B$53*10^(-9)*Fs*10^(3)/2+Vin*B65*10^3*'Power Loss'!$B$48*10^(-9)*'Power Loss'!$B$54+0.5*'Power Loss'!$B$51*10^(-9)*Vin^2*B65*10^3*'Power Loss'!$B$54</f>
        <v>0.44021541196095798</v>
      </c>
      <c r="E34" s="155">
        <f>G65^2*'Power Loss'!$B$63/1000/'Power Loss'!$B$71+'Power Loss'!$B$64*B65*10^(-6)*((A34+0.5*E65)*'Power Loss'!$B$69+(A34-0.5*E65)*'Power Loss'!$B$70)+0.5*'Power Loss'!$B$65*Vin* B65*10^(-6)*'Power Loss'!$B$71+'Power Loss'!$B$68*10^(-9)*'Power Loss'!$B$71*Vin^2*B65*1000/2</f>
        <v>0.27032254161911656</v>
      </c>
      <c r="F34" s="155">
        <f>B65*'Power Loss'!$B$79*'Power Loss'!$B$49*10^(-6)*'Power Loss'!$B$54+B65*'Power Loss'!$B$80*'Power Loss'!$B$66*10^(-6)*'Power Loss'!$B$71+'Power Loss'!$B$80*'Power Loss'!$B$81*0.001</f>
        <v>3.1139999999999998E-2</v>
      </c>
      <c r="G34" s="155">
        <f t="shared" si="2"/>
        <v>4.4029136246065401E-2</v>
      </c>
      <c r="H34" s="155">
        <f>(0.5*E65/SQRT(3))^2*'Power Loss'!$B$33/'Power Loss'!$B$31/1000</f>
        <v>3.8806135732166779E-4</v>
      </c>
      <c r="I34" s="17"/>
      <c r="J34" s="4"/>
      <c r="K34" s="4"/>
    </row>
    <row r="35" spans="1:23" s="29" customFormat="1" ht="13" customHeight="1">
      <c r="A35" s="152">
        <f>Imin+(Imax-Imin)*0.7</f>
        <v>2.4502999999999999</v>
      </c>
      <c r="B35" s="153">
        <f t="shared" si="3"/>
        <v>0.87631460862245025</v>
      </c>
      <c r="C35" s="154">
        <f t="shared" si="4"/>
        <v>93.324748751045888</v>
      </c>
      <c r="D35" s="155">
        <f>F66^2*Ron_u/'Power Loss'!$B$54/1000+Vin*(A35-0.5*E66)*'Power Loss'!$B$52*10^(-9)*B66*10^(3)/2+Vin*(A35+0.5*E66)*'Power Loss'!$B$53*10^(-9)*Fs*10^(3)/2+Vin*B66*10^3*'Power Loss'!$B$48*10^(-9)*'Power Loss'!$B$54+0.5*'Power Loss'!$B$51*10^(-9)*Vin^2*B66*10^3*'Power Loss'!$B$54</f>
        <v>0.49226294761714573</v>
      </c>
      <c r="E35" s="155">
        <f>G66^2*'Power Loss'!$B$63/1000/'Power Loss'!$B$71+'Power Loss'!$B$64*B66*10^(-6)*((A35+0.5*E66)*'Power Loss'!$B$69+(A35-0.5*E66)*'Power Loss'!$B$70)+0.5*'Power Loss'!$B$65*Vin* B66*10^(-6)*'Power Loss'!$B$71+'Power Loss'!$B$68*10^(-9)*'Power Loss'!$B$71*Vin^2*B66*1000/2</f>
        <v>0.30424635753826085</v>
      </c>
      <c r="F35" s="155">
        <f>B66*'Power Loss'!$B$79*'Power Loss'!$B$49*10^(-6)*'Power Loss'!$B$54+B66*'Power Loss'!$B$80*'Power Loss'!$B$66*10^(-6)*'Power Loss'!$B$71+'Power Loss'!$B$80*'Power Loss'!$B$81*0.001</f>
        <v>3.1139999999999998E-2</v>
      </c>
      <c r="G35" s="155">
        <f t="shared" si="2"/>
        <v>4.827507917976432E-2</v>
      </c>
      <c r="H35" s="155">
        <f>(0.5*E66/SQRT(3))^2*'Power Loss'!$B$33/'Power Loss'!$B$31/1000</f>
        <v>3.9022428727932186E-4</v>
      </c>
      <c r="I35" s="17"/>
      <c r="J35" s="4"/>
      <c r="K35" s="4"/>
    </row>
    <row r="36" spans="1:23" s="29" customFormat="1" ht="13" customHeight="1">
      <c r="A36" s="152">
        <f>Imin+(Imax-Imin)*0.75</f>
        <v>2.6252499999999999</v>
      </c>
      <c r="B36" s="153">
        <f t="shared" si="3"/>
        <v>0.97163819885847003</v>
      </c>
      <c r="C36" s="154">
        <f t="shared" si="4"/>
        <v>93.107916695373248</v>
      </c>
      <c r="D36" s="155">
        <f>F67^2*Ron_u/'Power Loss'!$B$54/1000+Vin*(A36-0.5*E67)*'Power Loss'!$B$52*10^(-9)*B67*10^(3)/2+Vin*(A36+0.5*E67)*'Power Loss'!$B$53*10^(-9)*Fs*10^(3)/2+Vin*B67*10^3*'Power Loss'!$B$48*10^(-9)*'Power Loss'!$B$54+0.5*'Power Loss'!$B$51*10^(-9)*Vin^2*B67*10^3*'Power Loss'!$B$54</f>
        <v>0.54712417594902807</v>
      </c>
      <c r="E36" s="155">
        <f>G67^2*'Power Loss'!$B$63/1000/'Power Loss'!$B$71+'Power Loss'!$B$64*B67*10^(-6)*((A36+0.5*E67)*'Power Loss'!$B$69+(A36-0.5*E67)*'Power Loss'!$B$70)+0.5*'Power Loss'!$B$65*Vin* B67*10^(-6)*'Power Loss'!$B$71+'Power Loss'!$B$68*10^(-9)*'Power Loss'!$B$71*Vin^2*B67*1000/2</f>
        <v>0.34015402590483812</v>
      </c>
      <c r="F36" s="155">
        <f>B67*'Power Loss'!$B$79*'Power Loss'!$B$49*10^(-6)*'Power Loss'!$B$54+B67*'Power Loss'!$B$80*'Power Loss'!$B$66*10^(-6)*'Power Loss'!$B$71+'Power Loss'!$B$80*'Power Loss'!$B$81*0.001</f>
        <v>3.1139999999999998E-2</v>
      </c>
      <c r="G36" s="155">
        <f t="shared" si="2"/>
        <v>5.2827601406272538E-2</v>
      </c>
      <c r="H36" s="155">
        <f>(0.5*E67/SQRT(3))^2*'Power Loss'!$B$33/'Power Loss'!$B$31/1000</f>
        <v>3.9239559833134397E-4</v>
      </c>
      <c r="I36" s="17"/>
      <c r="J36" s="4"/>
      <c r="K36" s="4"/>
    </row>
    <row r="37" spans="1:23" s="29" customFormat="1" ht="13" customHeight="1">
      <c r="A37" s="152">
        <f>Imin+(Imax-Imin)*0.8</f>
        <v>2.8002000000000002</v>
      </c>
      <c r="B37" s="153">
        <f t="shared" si="3"/>
        <v>1.0720742827539409</v>
      </c>
      <c r="C37" s="154">
        <f t="shared" si="4"/>
        <v>92.88748756462661</v>
      </c>
      <c r="D37" s="155">
        <f>F68^2*Ron_u/'Power Loss'!$B$54/1000+Vin*(A37-0.5*E68)*'Power Loss'!$B$52*10^(-9)*B68*10^(3)/2+Vin*(A37+0.5*E68)*'Power Loss'!$B$53*10^(-9)*Fs*10^(3)/2+Vin*B68*10^3*'Power Loss'!$B$48*10^(-9)*'Power Loss'!$B$54+0.5*'Power Loss'!$B$51*10^(-9)*Vin^2*B68*10^3*'Power Loss'!$B$54</f>
        <v>0.60482119491803843</v>
      </c>
      <c r="E37" s="155">
        <f>G68^2*'Power Loss'!$B$63/1000/'Power Loss'!$B$71+'Power Loss'!$B$64*B68*10^(-6)*((A37+0.5*E68)*'Power Loss'!$B$69+(A37-0.5*E68)*'Power Loss'!$B$70)+0.5*'Power Loss'!$B$65*Vin* B68*10^(-6)*'Power Loss'!$B$71+'Power Loss'!$B$68*10^(-9)*'Power Loss'!$B$71*Vin^2*B68*1000/2</f>
        <v>0.37803180790056545</v>
      </c>
      <c r="F37" s="155">
        <f>B68*'Power Loss'!$B$79*'Power Loss'!$B$49*10^(-6)*'Power Loss'!$B$54+B68*'Power Loss'!$B$80*'Power Loss'!$B$66*10^(-6)*'Power Loss'!$B$71+'Power Loss'!$B$80*'Power Loss'!$B$81*0.001</f>
        <v>3.1139999999999998E-2</v>
      </c>
      <c r="G37" s="155">
        <f t="shared" si="2"/>
        <v>5.7686704621267258E-2</v>
      </c>
      <c r="H37" s="155">
        <f>(0.5*E68/SQRT(3))^2*'Power Loss'!$B$33/'Power Loss'!$B$31/1000</f>
        <v>3.9457531406970138E-4</v>
      </c>
      <c r="I37" s="17"/>
      <c r="J37" s="4"/>
      <c r="K37" s="4"/>
    </row>
    <row r="38" spans="1:23" s="29" customFormat="1" ht="13" customHeight="1">
      <c r="A38" s="152">
        <f>Imin+(Imax-Imin)*0.85</f>
        <v>2.9751499999999997</v>
      </c>
      <c r="B38" s="153">
        <f t="shared" si="3"/>
        <v>1.1776312394427664</v>
      </c>
      <c r="C38" s="154">
        <f t="shared" si="4"/>
        <v>92.664279120529741</v>
      </c>
      <c r="D38" s="155">
        <f>F69^2*Ron_u/'Power Loss'!$B$54/1000+Vin*(A38-0.5*E69)*'Power Loss'!$B$52*10^(-9)*B69*10^(3)/2+Vin*(A38+0.5*E69)*'Power Loss'!$B$53*10^(-9)*Fs*10^(3)/2+Vin*B69*10^3*'Power Loss'!$B$48*10^(-9)*'Power Loss'!$B$54+0.5*'Power Loss'!$B$51*10^(-9)*Vin^2*B69*10^3*'Power Loss'!$B$54</f>
        <v>0.66537615077101886</v>
      </c>
      <c r="E38" s="155">
        <f>G69^2*'Power Loss'!$B$63/1000/'Power Loss'!$B$71+'Power Loss'!$B$64*B69*10^(-6)*((A38+0.5*E69)*'Power Loss'!$B$69+(A38-0.5*E69)*'Power Loss'!$B$70)+0.5*'Power Loss'!$B$65*Vin* B69*10^(-6)*'Power Loss'!$B$71+'Power Loss'!$B$68*10^(-9)*'Power Loss'!$B$71*Vin^2*B69*1000/2</f>
        <v>0.41786593468752231</v>
      </c>
      <c r="F38" s="155">
        <f>B69*'Power Loss'!$B$79*'Power Loss'!$B$49*10^(-6)*'Power Loss'!$B$54+B69*'Power Loss'!$B$80*'Power Loss'!$B$66*10^(-6)*'Power Loss'!$B$71+'Power Loss'!$B$80*'Power Loss'!$B$81*0.001</f>
        <v>3.1139999999999998E-2</v>
      </c>
      <c r="G38" s="155">
        <f t="shared" si="2"/>
        <v>6.2852390526065782E-2</v>
      </c>
      <c r="H38" s="155">
        <f>(0.5*E69/SQRT(3))^2*'Power Loss'!$B$33/'Power Loss'!$B$31/1000</f>
        <v>3.9676345815947283E-4</v>
      </c>
      <c r="I38" s="17"/>
      <c r="J38" s="4"/>
      <c r="K38" s="4"/>
    </row>
    <row r="39" spans="1:23" s="29" customFormat="1" ht="13" customHeight="1">
      <c r="A39" s="152">
        <f>Imin+(Imax-Imin)*0.9</f>
        <v>3.1501000000000001</v>
      </c>
      <c r="B39" s="153">
        <f>SUM(D39:H39)</f>
        <v>1.288317466380275</v>
      </c>
      <c r="C39" s="154">
        <f>Vout*A39/(Vout*A39+B39)*100</f>
        <v>92.438926768701606</v>
      </c>
      <c r="D39" s="155">
        <f>F70^2*Ron_u/'Power Loss'!$B$54/1000+Vin*(A39-0.5*E70)*'Power Loss'!$B$52*10^(-9)*B70*10^(3)/2+Vin*(A39+0.5*E70)*'Power Loss'!$B$53*10^(-9)*Fs*10^(3)/2+Vin*B70*10^3*'Power Loss'!$B$48*10^(-9)*'Power Loss'!$B$54+0.5*'Power Loss'!$B$51*10^(-9)*Vin^2*B70*10^3*'Power Loss'!$B$54</f>
        <v>0.7288112381721793</v>
      </c>
      <c r="E39" s="155">
        <f>G70^2*'Power Loss'!$B$63/1000/'Power Loss'!$B$71+'Power Loss'!$B$64*B70*10^(-6)*((A39+0.5*E70)*'Power Loss'!$B$69+(A39-0.5*E70)*'Power Loss'!$B$70)+0.5*'Power Loss'!$B$65*Vin* B70*10^(-6)*'Power Loss'!$B$71+'Power Loss'!$B$68*10^(-9)*'Power Loss'!$B$71*Vin^2*B70*1000/2</f>
        <v>0.45964260732610907</v>
      </c>
      <c r="F39" s="155">
        <f>B70*'Power Loss'!$B$79*'Power Loss'!$B$49*10^(-6)*'Power Loss'!$B$54+B70*'Power Loss'!$B$80*'Power Loss'!$B$66*10^(-6)*'Power Loss'!$B$71+'Power Loss'!$B$80*'Power Loss'!$B$81*0.001</f>
        <v>3.1139999999999998E-2</v>
      </c>
      <c r="G39" s="155">
        <f t="shared" si="2"/>
        <v>6.8324660827647793E-2</v>
      </c>
      <c r="H39" s="155">
        <f>(0.5*E70/SQRT(3))^2*'Power Loss'!$B$33/'Power Loss'!$B$31/1000</f>
        <v>3.9896005433910869E-4</v>
      </c>
      <c r="I39" s="17"/>
      <c r="J39" s="4"/>
      <c r="K39" s="4"/>
    </row>
    <row r="40" spans="1:23" ht="15" customHeight="1">
      <c r="A40" s="152">
        <f>Imin+(Imax-Imin)*0.95</f>
        <v>3.3250499999999996</v>
      </c>
      <c r="B40" s="153">
        <f>SUM(D40:H40)</f>
        <v>1.4041413793933253</v>
      </c>
      <c r="C40" s="154">
        <f>Vout*A40/(Vout*A40+B40)*100</f>
        <v>92.211931341186656</v>
      </c>
      <c r="D40" s="155">
        <f>F71^2*Ron_u/'Power Loss'!$B$54/1000+Vin*(A40-0.5*E71)*'Power Loss'!$B$52*10^(-9)*B71*10^(3)/2+Vin*(A40+0.5*E71)*'Power Loss'!$B$53*10^(-9)*Fs*10^(3)/2+Vin*B71*10^3*'Power Loss'!$B$48*10^(-9)*'Power Loss'!$B$54+0.5*'Power Loss'!$B$51*10^(-9)*Vin^2*B71*10^3*'Power Loss'!$B$54</f>
        <v>0.79514870033549001</v>
      </c>
      <c r="E40" s="155">
        <f>G71^2*'Power Loss'!$B$63/1000/'Power Loss'!$B$71+'Power Loss'!$B$64*B71*10^(-6)*((A40+0.5*E71)*'Power Loss'!$B$69+(A40-0.5*E71)*'Power Loss'!$B$70)+0.5*'Power Loss'!$B$65*Vin* B71*10^(-6)*'Power Loss'!$B$71+'Power Loss'!$B$68*10^(-9)*'Power Loss'!$B$71*Vin^2*B71*1000/2</f>
        <v>0.50334799669273789</v>
      </c>
      <c r="F40" s="155">
        <f>B71*'Power Loss'!$B$79*'Power Loss'!$B$49*10^(-6)*'Power Loss'!$B$54+B71*'Power Loss'!$B$80*'Power Loss'!$B$66*10^(-6)*'Power Loss'!$B$71+'Power Loss'!$B$80*'Power Loss'!$B$81*0.001</f>
        <v>3.1139999999999998E-2</v>
      </c>
      <c r="G40" s="155">
        <f t="shared" si="2"/>
        <v>7.410351723867685E-2</v>
      </c>
      <c r="H40" s="155">
        <f>(0.5*E71/SQRT(3))^2*'Power Loss'!$B$33/'Power Loss'!$B$31/1000</f>
        <v>4.0116512642068901E-4</v>
      </c>
      <c r="I40" s="17"/>
      <c r="J40" s="4"/>
      <c r="K40" s="4"/>
    </row>
    <row r="41" spans="1:23" ht="14.25" customHeight="1">
      <c r="A41" s="152">
        <f>Imin+(Imax-Imin)*1</f>
        <v>3.5</v>
      </c>
      <c r="B41" s="153">
        <f>SUM(D41:H41)</f>
        <v>1.5103919368229763</v>
      </c>
      <c r="C41" s="154">
        <f>Vout*A41/(Vout*A41+B41)*100</f>
        <v>92.054914270876438</v>
      </c>
      <c r="D41" s="155">
        <f>F72^2*Ron_u/'Power Loss'!$B$54/1000+Vin*(A41-0.5*E72)*'Power Loss'!$B$52*10^(-9)*B72*10^(3)/2+Vin*(A41+0.5*E72)*'Power Loss'!$B$53*10^(-9)*Fs*10^(3)/2+Vin*B72*10^3*'Power Loss'!$B$48*10^(-9)*'Power Loss'!$B$54+0.5*'Power Loss'!$B$51*10^(-9)*Vin^2*B72*10^3*'Power Loss'!$B$54</f>
        <v>0.83337600188577954</v>
      </c>
      <c r="E41" s="155">
        <f>G72^2*'Power Loss'!$B$63/1000/'Power Loss'!$B$71+'Power Loss'!$B$64*B72*10^(-6)*((A41+0.5*E72)*'Power Loss'!$B$69+(A41-0.5*E72)*'Power Loss'!$B$70)+0.5*'Power Loss'!$B$65*Vin* B72*10^(-6)*'Power Loss'!$B$71+'Power Loss'!$B$68*10^(-9)*'Power Loss'!$B$71*Vin^2*B72*1000/2</f>
        <v>0.5676433682229296</v>
      </c>
      <c r="F41" s="155">
        <f>B72*'Power Loss'!$B$79*'Power Loss'!$B$49*10^(-6)*'Power Loss'!$B$54+B72*'Power Loss'!$B$80*'Power Loss'!$B$66*10^(-6)*'Power Loss'!$B$71+'Power Loss'!$B$80*'Power Loss'!$B$81*0.001</f>
        <v>3.1139999999999998E-2</v>
      </c>
      <c r="G41" s="155">
        <f t="shared" si="2"/>
        <v>7.7873931084391071E-2</v>
      </c>
      <c r="H41" s="155">
        <f>(0.5*E72/SQRT(3))^2*'Power Loss'!$B$33/'Power Loss'!$B$31/1000</f>
        <v>3.5863562987622214E-4</v>
      </c>
      <c r="I41" s="17"/>
    </row>
    <row r="42" spans="1:23" ht="13" customHeight="1">
      <c r="A42" s="17"/>
      <c r="B42" s="17"/>
      <c r="C42" s="17"/>
      <c r="D42" s="17"/>
      <c r="E42" s="17"/>
      <c r="F42" s="17"/>
      <c r="G42" s="17"/>
      <c r="H42" s="17"/>
      <c r="I42" s="111"/>
      <c r="J42" s="111"/>
      <c r="K42" s="111"/>
      <c r="L42" s="111"/>
      <c r="M42" s="111"/>
      <c r="N42" s="111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3" customHeight="1">
      <c r="A43" s="17" t="s">
        <v>258</v>
      </c>
      <c r="B43" s="17" t="s">
        <v>259</v>
      </c>
      <c r="C43" s="17" t="s">
        <v>260</v>
      </c>
      <c r="D43" s="17" t="s">
        <v>116</v>
      </c>
      <c r="E43" s="17" t="s">
        <v>117</v>
      </c>
      <c r="F43" s="17" t="s">
        <v>118</v>
      </c>
      <c r="G43" s="17" t="s">
        <v>119</v>
      </c>
      <c r="H43" s="17"/>
      <c r="I43" s="100"/>
      <c r="J43" s="100"/>
      <c r="K43" s="100"/>
      <c r="L43" s="100"/>
      <c r="M43" s="111"/>
      <c r="N43" s="111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3" customHeight="1">
      <c r="A44" s="17">
        <f>IF(OR('Power Loss'!$B$17="AP63206",'Power Loss'!$B$17="AP63356"), 0, IF(A13&gt;$E$9, 0, 2/((Vin-Vout)*Vout/(2*Vin*Lout*0.000001*($E$9-A13)))))</f>
        <v>3.5034233583959896E-6</v>
      </c>
      <c r="B44" s="156">
        <f t="shared" ref="B44:B72" si="5">1/(1000/(Fs*1000)+A44*1000)</f>
        <v>190.19327984507228</v>
      </c>
      <c r="C44" s="152">
        <f>Imin</f>
        <v>1E-3</v>
      </c>
      <c r="D44" s="17">
        <f t="shared" ref="D44:D53" si="6">Vout/Vin*(1+(Ron_l+DCR)/1000*A13/Vout)/(1-A13*(Ron_u-Ron_l)/1000/Vin)</f>
        <v>0.41667345348054585</v>
      </c>
      <c r="E44" s="17">
        <f t="shared" ref="E44:E54" si="7">(Vin-Vout)/Lout/10^(-6)*D44/Fs/10^3</f>
        <v>1.3120621567088715</v>
      </c>
      <c r="F44" s="17">
        <f>A13*SQRT(D44)*SQRT(1+1/3*(E44/2/A13)^2)</f>
        <v>0.24449119103215855</v>
      </c>
      <c r="G44" s="17">
        <f>A13*SQRT(1-D44)*SQRT(1+1/3*(E44/2/A13)^2)</f>
        <v>0.28928183967076898</v>
      </c>
      <c r="H44" s="17"/>
      <c r="I44" s="100"/>
      <c r="J44" s="112" t="s">
        <v>120</v>
      </c>
      <c r="K44" s="100">
        <v>1</v>
      </c>
      <c r="L44" s="100" t="s">
        <v>5</v>
      </c>
      <c r="M44" s="111"/>
      <c r="N44" s="111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3" customHeight="1">
      <c r="A45" s="17">
        <f>IF(OR('Power Loss'!$B$17="AP63206",'Power Loss'!$B$17="AP63356"), 0, IF(A14&gt;$E$9, 0, 2/((Vin-Vout)*Vout/(2*Vin*Lout*0.000001*($E$9-A14)))))</f>
        <v>3.4847087069674187E-6</v>
      </c>
      <c r="B45" s="156">
        <f t="shared" si="5"/>
        <v>190.8726722132732</v>
      </c>
      <c r="C45" s="152">
        <f>Imin+(Imax-Imin)*0.001</f>
        <v>4.4990000000000004E-3</v>
      </c>
      <c r="D45" s="17">
        <f t="shared" si="6"/>
        <v>0.41669720087262341</v>
      </c>
      <c r="E45" s="17">
        <f t="shared" si="7"/>
        <v>1.3121369348215763</v>
      </c>
      <c r="F45" s="17">
        <f t="shared" ref="F45:F72" si="8">A14*SQRT(D45)*SQRT(1+1/3*(E45/2/A14)^2)</f>
        <v>0.24452848728902926</v>
      </c>
      <c r="G45" s="17">
        <f t="shared" ref="G45:G72" si="9">A14*SQRT(1-D45)*SQRT(1+1/3*(E45/2/A14)^2)</f>
        <v>0.28931183501898516</v>
      </c>
      <c r="H45" s="17"/>
      <c r="I45" s="100"/>
      <c r="J45" s="112" t="s">
        <v>121</v>
      </c>
      <c r="K45" s="100">
        <v>5</v>
      </c>
      <c r="L45" s="100" t="s">
        <v>122</v>
      </c>
      <c r="M45" s="111"/>
      <c r="N45" s="111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3" customHeight="1">
      <c r="A46" s="17">
        <f>IF(OR('Power Loss'!$B$17="AP63206",'Power Loss'!$B$17="AP63356"), 0, IF(A15&gt;$E$9, 0, 2/((Vin-Vout)*Vout/(2*Vin*Lout*0.000001*($E$9-A15)))))</f>
        <v>3.4659940555388477E-6</v>
      </c>
      <c r="B46" s="156">
        <f t="shared" si="5"/>
        <v>191.5569357177915</v>
      </c>
      <c r="C46" s="152">
        <f>Imin+(Imax-Imin)*0.002</f>
        <v>7.9980000000000016E-3</v>
      </c>
      <c r="D46" s="17">
        <f t="shared" si="6"/>
        <v>0.41672094877850352</v>
      </c>
      <c r="E46" s="17">
        <f t="shared" si="7"/>
        <v>1.312211714552193</v>
      </c>
      <c r="F46" s="17">
        <f t="shared" si="8"/>
        <v>0.24458664278628728</v>
      </c>
      <c r="G46" s="17">
        <f t="shared" si="9"/>
        <v>0.28936650490084992</v>
      </c>
      <c r="H46" s="17"/>
      <c r="I46" s="100"/>
      <c r="J46" s="100" t="s">
        <v>86</v>
      </c>
      <c r="K46" s="100">
        <v>80</v>
      </c>
      <c r="L46" s="100" t="s">
        <v>123</v>
      </c>
      <c r="M46" s="111"/>
      <c r="N46" s="111"/>
      <c r="O46" s="17"/>
      <c r="P46" s="17"/>
      <c r="Q46" s="17"/>
      <c r="R46" s="17"/>
      <c r="S46" s="17"/>
      <c r="T46" s="17"/>
      <c r="U46" s="17"/>
      <c r="V46" s="17"/>
      <c r="W46" s="17"/>
    </row>
    <row r="47" spans="1:23" s="39" customFormat="1" ht="13" customHeight="1">
      <c r="A47" s="17">
        <f>IF(OR('Power Loss'!$B$17="AP63206",'Power Loss'!$B$17="AP63356"), 0, IF(A16&gt;$E$9, 0, 2/((Vin-Vout)*Vout/(2*Vin*Lout*0.000001*($E$9-A16)))))</f>
        <v>3.4285647526817041E-6</v>
      </c>
      <c r="B47" s="156">
        <f t="shared" si="5"/>
        <v>192.94028720076608</v>
      </c>
      <c r="C47" s="152">
        <f>Imin+(Imax-Imin)*0.004</f>
        <v>1.4996000000000002E-2</v>
      </c>
      <c r="D47" s="17">
        <f t="shared" si="6"/>
        <v>0.41676844613173841</v>
      </c>
      <c r="E47" s="17">
        <f t="shared" si="7"/>
        <v>1.3123612788673724</v>
      </c>
      <c r="F47" s="17">
        <f t="shared" si="8"/>
        <v>0.24476548095211759</v>
      </c>
      <c r="G47" s="17">
        <f t="shared" si="9"/>
        <v>0.28954979400121428</v>
      </c>
      <c r="H47" s="17"/>
      <c r="I47" s="111"/>
      <c r="J47" s="111"/>
      <c r="K47" s="111"/>
      <c r="L47" s="111"/>
      <c r="M47" s="111"/>
      <c r="N47" s="111"/>
      <c r="O47" s="16"/>
      <c r="P47" s="16"/>
      <c r="Q47" s="16"/>
      <c r="R47" s="16"/>
      <c r="S47" s="16"/>
      <c r="T47" s="16"/>
      <c r="U47" s="16"/>
      <c r="V47" s="16"/>
      <c r="W47" s="16"/>
    </row>
    <row r="48" spans="1:23" s="39" customFormat="1" ht="13" customHeight="1">
      <c r="A48" s="17">
        <f>IF(OR('Power Loss'!$B$17="AP63206",'Power Loss'!$B$17="AP63356"), 0, IF(A17&gt;$E$9, 0, 2/((Vin-Vout)*Vout/(2*Vin*Lout*0.000001*($E$9-A17)))))</f>
        <v>3.3911354498245618E-6</v>
      </c>
      <c r="B48" s="156">
        <f t="shared" si="5"/>
        <v>194.34376410056066</v>
      </c>
      <c r="C48" s="152">
        <f>Imin+(Imax-Imin)*0.006</f>
        <v>2.1994000000000003E-2</v>
      </c>
      <c r="D48" s="17">
        <f t="shared" si="6"/>
        <v>0.41681594554038387</v>
      </c>
      <c r="E48" s="17">
        <f t="shared" si="7"/>
        <v>1.3125108496548301</v>
      </c>
      <c r="F48" s="17">
        <f t="shared" si="8"/>
        <v>0.24502755142945981</v>
      </c>
      <c r="G48" s="17">
        <f t="shared" si="9"/>
        <v>0.289831495783821</v>
      </c>
      <c r="H48" s="17"/>
      <c r="I48" s="111" t="s">
        <v>124</v>
      </c>
      <c r="J48" s="111"/>
      <c r="K48" s="111"/>
      <c r="L48" s="111"/>
      <c r="M48" s="111"/>
      <c r="N48" s="111"/>
      <c r="O48" s="16"/>
      <c r="P48" s="16"/>
      <c r="Q48" s="16"/>
      <c r="R48" s="16"/>
      <c r="S48" s="16"/>
      <c r="T48" s="16"/>
      <c r="U48" s="16"/>
      <c r="V48" s="16"/>
      <c r="W48" s="16"/>
    </row>
    <row r="49" spans="1:23" s="39" customFormat="1" ht="13" customHeight="1">
      <c r="A49" s="17">
        <f>IF(OR('Power Loss'!$B$17="AP63206",'Power Loss'!$B$17="AP63356"), 0, IF(A18&gt;$E$9, 0, 2/((Vin-Vout)*Vout/(2*Vin*Lout*0.000001*($E$9-A18)))))</f>
        <v>3.3537061469674186E-6</v>
      </c>
      <c r="B49" s="156">
        <f t="shared" si="5"/>
        <v>195.76780882128915</v>
      </c>
      <c r="C49" s="152">
        <f>Imin+(Imax-Imin)*0.008</f>
        <v>2.8992000000000004E-2</v>
      </c>
      <c r="D49" s="17">
        <f t="shared" si="6"/>
        <v>0.41686344700457328</v>
      </c>
      <c r="E49" s="17">
        <f t="shared" si="7"/>
        <v>1.3126604269149857</v>
      </c>
      <c r="F49" s="17">
        <f t="shared" si="8"/>
        <v>0.24537261597515306</v>
      </c>
      <c r="G49" s="17">
        <f t="shared" si="9"/>
        <v>0.29021129961787517</v>
      </c>
      <c r="H49" s="17"/>
      <c r="I49" s="111" t="s">
        <v>125</v>
      </c>
      <c r="J49" s="111"/>
      <c r="K49" s="111"/>
      <c r="L49" s="111"/>
      <c r="M49" s="111"/>
      <c r="N49" s="111"/>
      <c r="O49" s="16"/>
      <c r="P49" s="16"/>
      <c r="Q49" s="16"/>
      <c r="R49" s="16"/>
      <c r="S49" s="16"/>
      <c r="T49" s="16"/>
      <c r="U49" s="16"/>
      <c r="V49" s="16"/>
      <c r="W49" s="16"/>
    </row>
    <row r="50" spans="1:23" s="39" customFormat="1" ht="13" customHeight="1">
      <c r="A50" s="17">
        <f>IF(OR('Power Loss'!$B$17="AP63206",'Power Loss'!$B$17="AP63356"), 0, IF(A19&gt;$E$9, 0, 2/((Vin-Vout)*Vout/(2*Vin*Lout*0.000001*($E$9-A19)))))</f>
        <v>3.3162768441102758E-6</v>
      </c>
      <c r="B50" s="156">
        <f t="shared" si="5"/>
        <v>197.21287682956077</v>
      </c>
      <c r="C50" s="152">
        <f>Imin+(Imax-Imin)*0.01</f>
        <v>3.5990000000000001E-2</v>
      </c>
      <c r="D50" s="17">
        <f t="shared" si="6"/>
        <v>0.41691095052444027</v>
      </c>
      <c r="E50" s="17">
        <f t="shared" si="7"/>
        <v>1.3128100106482601</v>
      </c>
      <c r="F50" s="17">
        <f t="shared" si="8"/>
        <v>0.2458003534567996</v>
      </c>
      <c r="G50" s="17">
        <f t="shared" si="9"/>
        <v>0.29068879696111927</v>
      </c>
      <c r="H50" s="17"/>
      <c r="I50" s="98" t="s">
        <v>127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s="39" customFormat="1" ht="13" customHeight="1">
      <c r="A51" s="17">
        <f>IF(OR('Power Loss'!$B$17="AP63206",'Power Loss'!$B$17="AP63356"), 0, IF(A20&gt;$E$9, 0, 2/((Vin-Vout)*Vout/(2*Vin*Lout*0.000001*($E$9-A20)))))</f>
        <v>3.1291303298245616E-6</v>
      </c>
      <c r="B51" s="156">
        <f t="shared" si="5"/>
        <v>204.77048496341445</v>
      </c>
      <c r="C51" s="152">
        <f>Imin+(Imax-Imin)*0.02</f>
        <v>7.0980000000000001E-2</v>
      </c>
      <c r="D51" s="17">
        <f t="shared" si="6"/>
        <v>0.41714849896360734</v>
      </c>
      <c r="E51" s="17">
        <f t="shared" si="7"/>
        <v>1.3135580264261142</v>
      </c>
      <c r="F51" s="17">
        <f t="shared" si="8"/>
        <v>0.24916233380880815</v>
      </c>
      <c r="G51" s="17">
        <f t="shared" si="9"/>
        <v>0.29452082418167608</v>
      </c>
      <c r="H51" s="17"/>
      <c r="I51" s="98" t="s">
        <v>128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s="39" customFormat="1" ht="13" customHeight="1">
      <c r="A52" s="17">
        <f>IF(OR('Power Loss'!$B$17="AP63206",'Power Loss'!$B$17="AP63356"), 0, IF(A21&gt;$E$9, 0, 2/((Vin-Vout)*Vout/(2*Vin*Lout*0.000001*($E$9-A21)))))</f>
        <v>2.7548373012531332E-6</v>
      </c>
      <c r="B52" s="156">
        <f t="shared" si="5"/>
        <v>221.76768391652234</v>
      </c>
      <c r="C52" s="152">
        <f>Imin+(Imax-Imin)*0.04</f>
        <v>0.14096</v>
      </c>
      <c r="D52" s="17">
        <f t="shared" si="6"/>
        <v>0.41762375009450664</v>
      </c>
      <c r="E52" s="17">
        <f t="shared" si="7"/>
        <v>1.3150545437073984</v>
      </c>
      <c r="F52" s="17">
        <f t="shared" si="8"/>
        <v>0.26169354698148067</v>
      </c>
      <c r="G52" s="17">
        <f t="shared" si="9"/>
        <v>0.3090311421394954</v>
      </c>
      <c r="H52" s="17"/>
      <c r="I52" s="16" t="s">
        <v>129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s="39" customFormat="1" ht="13" customHeight="1">
      <c r="A53" s="17">
        <f>IF(OR('Power Loss'!$B$17="AP63206",'Power Loss'!$B$17="AP63356"), 0, IF(A22&gt;$E$9, 0, 2/((Vin-Vout)*Vout/(2*Vin*Lout*0.000001*($E$9-A22)))))</f>
        <v>2.3805442726817044E-6</v>
      </c>
      <c r="B53" s="156">
        <f t="shared" si="5"/>
        <v>241.84204872628649</v>
      </c>
      <c r="C53" s="152">
        <f>Imin+(Imax-Imin)*0.06</f>
        <v>0.21093999999999999</v>
      </c>
      <c r="D53" s="17">
        <f t="shared" si="6"/>
        <v>0.41809920700681036</v>
      </c>
      <c r="E53" s="17">
        <f t="shared" si="7"/>
        <v>1.3165517089733121</v>
      </c>
      <c r="F53" s="17">
        <f t="shared" si="8"/>
        <v>0.28106022321478569</v>
      </c>
      <c r="G53" s="17">
        <f t="shared" si="9"/>
        <v>0.33157684085769207</v>
      </c>
      <c r="H53" s="17"/>
      <c r="I53" s="16" t="s">
        <v>129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s="39" customFormat="1" ht="13" customHeight="1">
      <c r="A54" s="17">
        <f>IF(OR('Power Loss'!$B$17="AP63206",'Power Loss'!$B$17="AP63356"), 0, IF(A23&gt;$E$9, 0, 2/((Vin-Vout)*Vout/(2*Vin*Lout*0.000001*($E$9-A23)))))</f>
        <v>2.006251244110276E-6</v>
      </c>
      <c r="B54" s="156">
        <f t="shared" si="5"/>
        <v>265.91238250815326</v>
      </c>
      <c r="C54" s="152">
        <f>Imin+(Imax-Imin)*0.08</f>
        <v>0.28092</v>
      </c>
      <c r="D54" s="17">
        <f t="shared" ref="D54:D72" si="10">Vout/Vin*(1+(Ron_l+DCR)/1000*A24/Vout)/(1-A24*(Ron_u-Ron_l)/1000/Vin)</f>
        <v>0.41905073871047693</v>
      </c>
      <c r="E54" s="17">
        <f t="shared" si="7"/>
        <v>1.3195479851432022</v>
      </c>
      <c r="F54" s="17">
        <f t="shared" si="8"/>
        <v>0.30638918088048767</v>
      </c>
      <c r="G54" s="17">
        <f t="shared" si="9"/>
        <v>0.36075239430576311</v>
      </c>
      <c r="H54" s="17"/>
      <c r="I54" s="16" t="s">
        <v>131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s="39" customFormat="1" ht="13" customHeight="1">
      <c r="A55" s="17">
        <f>IF(OR('Power Loss'!$B$17="AP63206",'Power Loss'!$B$17="AP63356"), 0, IF(A24&gt;$E$9, 0, 2/((Vin-Vout)*Vout/(2*Vin*Lout*0.000001*($E$9-A24)))))</f>
        <v>1.6319582155388474E-6</v>
      </c>
      <c r="B55" s="156">
        <f t="shared" si="5"/>
        <v>295.30371005193575</v>
      </c>
      <c r="C55" s="152">
        <f>Imin+(Imax-Imin)*0.1</f>
        <v>0.35090000000000005</v>
      </c>
      <c r="D55" s="17">
        <f t="shared" si="10"/>
        <v>0.42024131324413705</v>
      </c>
      <c r="E55" s="17">
        <f t="shared" ref="E55:E71" si="11">(Vin-Vout)/Lout/10^(-6)*D55/Fs/10^3</f>
        <v>1.3232969827750605</v>
      </c>
      <c r="F55" s="17">
        <f t="shared" si="8"/>
        <v>0.33625717671425809</v>
      </c>
      <c r="G55" s="17">
        <f t="shared" si="9"/>
        <v>0.39495336833600286</v>
      </c>
      <c r="H55" s="17"/>
      <c r="I55" s="16" t="s">
        <v>133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s="39" customFormat="1" ht="13" customHeight="1">
      <c r="A56" s="17">
        <f>IF(OR('Power Loss'!$B$17="AP63206",'Power Loss'!$B$17="AP63356"), 0, IF(A25&gt;$E$9, 0, 2/((Vin-Vout)*Vout/(2*Vin*Lout*0.000001*($E$9-A25)))))</f>
        <v>6.9622564411027602E-7</v>
      </c>
      <c r="B56" s="156">
        <f t="shared" si="5"/>
        <v>408.06139835388149</v>
      </c>
      <c r="C56" s="152">
        <f>Imin+(Imax-Imin)*0.15</f>
        <v>0.52585000000000004</v>
      </c>
      <c r="D56" s="17">
        <f t="shared" si="10"/>
        <v>0.4214331785161966</v>
      </c>
      <c r="E56" s="17">
        <f t="shared" si="11"/>
        <v>1.3270500448103357</v>
      </c>
      <c r="F56" s="17">
        <f t="shared" si="8"/>
        <v>0.42235227418186544</v>
      </c>
      <c r="G56" s="17">
        <f t="shared" si="9"/>
        <v>0.49486556839138901</v>
      </c>
      <c r="H56" s="17"/>
      <c r="I56" s="16" t="s">
        <v>135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s="39" customFormat="1" ht="13" customHeight="1">
      <c r="A57" s="17">
        <f>IF(OR('Power Loss'!$B$17="AP63206",'Power Loss'!$B$17="AP63356"), 0, IF(A26&gt;$E$9, 0, 2/((Vin-Vout)*Vout/(2*Vin*Lout*0.000001*($E$9-A26)))))</f>
        <v>0</v>
      </c>
      <c r="B57" s="156">
        <f t="shared" si="5"/>
        <v>570</v>
      </c>
      <c r="C57" s="152">
        <f>Imin+(Imax-Imin)*0.2</f>
        <v>0.70080000000000009</v>
      </c>
      <c r="D57" s="17">
        <f t="shared" si="10"/>
        <v>0.42262633662678784</v>
      </c>
      <c r="E57" s="17">
        <f t="shared" si="11"/>
        <v>1.33080717786213</v>
      </c>
      <c r="F57" s="17">
        <f t="shared" si="8"/>
        <v>0.51955250163099809</v>
      </c>
      <c r="G57" s="17">
        <f t="shared" si="9"/>
        <v>0.60726695126862096</v>
      </c>
      <c r="H57" s="17"/>
      <c r="I57" s="16" t="s">
        <v>137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s="39" customFormat="1" ht="13" customHeight="1">
      <c r="A58" s="17">
        <f>IF(OR('Power Loss'!$B$17="AP63206",'Power Loss'!$B$17="AP63356"), 0, IF(A27&gt;$E$9, 0, 2/((Vin-Vout)*Vout/(2*Vin*Lout*0.000001*($E$9-A27)))))</f>
        <v>0</v>
      </c>
      <c r="B58" s="156">
        <f t="shared" si="5"/>
        <v>570</v>
      </c>
      <c r="C58" s="152">
        <f>Imin+(Imax-Imin)*0.25</f>
        <v>0.87575000000000003</v>
      </c>
      <c r="D58" s="17">
        <f t="shared" si="10"/>
        <v>0.42501653978689846</v>
      </c>
      <c r="E58" s="17">
        <f t="shared" si="11"/>
        <v>1.3383336835394914</v>
      </c>
      <c r="F58" s="17">
        <f t="shared" si="8"/>
        <v>0.62401917767615311</v>
      </c>
      <c r="G58" s="17">
        <f t="shared" si="9"/>
        <v>0.72580958184665056</v>
      </c>
      <c r="H58" s="17"/>
      <c r="I58" s="16" t="s">
        <v>139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s="39" customFormat="1" ht="13" customHeight="1">
      <c r="A59" s="17">
        <f>IF(OR('Power Loss'!$B$17="AP63206",'Power Loss'!$B$17="AP63356"), 0, IF(A28&gt;$E$9, 0, 2/((Vin-Vout)*Vout/(2*Vin*Lout*0.000001*($E$9-A28)))))</f>
        <v>0</v>
      </c>
      <c r="B59" s="156">
        <f t="shared" si="5"/>
        <v>570</v>
      </c>
      <c r="C59" s="152">
        <f>Imin+(Imax-Imin)*0.35</f>
        <v>1.2256499999999999</v>
      </c>
      <c r="D59" s="17">
        <f t="shared" si="10"/>
        <v>0.42621358905952456</v>
      </c>
      <c r="E59" s="17">
        <f t="shared" si="11"/>
        <v>1.3421030694631901</v>
      </c>
      <c r="F59" s="17">
        <f t="shared" si="8"/>
        <v>0.83919115568584124</v>
      </c>
      <c r="G59" s="17">
        <f t="shared" si="9"/>
        <v>0.97369374761294347</v>
      </c>
      <c r="H59" s="17"/>
      <c r="I59" s="16" t="s">
        <v>141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s="39" customFormat="1" ht="13" customHeight="1">
      <c r="A60" s="17">
        <f>IF(OR('Power Loss'!$B$17="AP63206",'Power Loss'!$B$17="AP63356"), 0, IF(A29&gt;$E$9, 0, 2/((Vin-Vout)*Vout/(2*Vin*Lout*0.000001*($E$9-A29)))))</f>
        <v>0</v>
      </c>
      <c r="B60" s="156">
        <f t="shared" si="5"/>
        <v>570</v>
      </c>
      <c r="C60" s="152">
        <f>Imin+(Imax-Imin)*0.4</f>
        <v>1.4006000000000001</v>
      </c>
      <c r="D60" s="17">
        <f t="shared" si="10"/>
        <v>0.42741193961692037</v>
      </c>
      <c r="E60" s="17">
        <f t="shared" si="11"/>
        <v>1.3458765529997492</v>
      </c>
      <c r="F60" s="17">
        <f t="shared" si="8"/>
        <v>0.95024357885112376</v>
      </c>
      <c r="G60" s="17">
        <f t="shared" si="9"/>
        <v>1.0998482359754986</v>
      </c>
      <c r="H60" s="17"/>
      <c r="I60" s="16" t="s">
        <v>143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s="39" customFormat="1" ht="13" customHeight="1">
      <c r="A61" s="17">
        <f>IF(OR('Power Loss'!$B$17="AP63206",'Power Loss'!$B$17="AP63356"), 0, IF(A30&gt;$E$9, 0, 2/((Vin-Vout)*Vout/(2*Vin*Lout*0.000001*($E$9-A30)))))</f>
        <v>0</v>
      </c>
      <c r="B61" s="156">
        <f t="shared" si="5"/>
        <v>570</v>
      </c>
      <c r="C61" s="152">
        <f>Imin+(Imax-Imin)*0.45</f>
        <v>1.57555</v>
      </c>
      <c r="D61" s="17">
        <f t="shared" si="10"/>
        <v>0.42861159358213496</v>
      </c>
      <c r="E61" s="17">
        <f t="shared" si="11"/>
        <v>1.3496541408344331</v>
      </c>
      <c r="F61" s="17">
        <f t="shared" si="8"/>
        <v>1.062557937143912</v>
      </c>
      <c r="G61" s="17">
        <f t="shared" si="9"/>
        <v>1.2268356142403247</v>
      </c>
      <c r="H61" s="17"/>
      <c r="I61" s="16" t="s">
        <v>145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s="39" customFormat="1" ht="13" customHeight="1">
      <c r="A62" s="17">
        <f>IF(OR('Power Loss'!$B$17="AP63206",'Power Loss'!$B$17="AP63356"), 0, IF(A31&gt;$E$9, 0, 2/((Vin-Vout)*Vout/(2*Vin*Lout*0.000001*($E$9-A31)))))</f>
        <v>0</v>
      </c>
      <c r="B62" s="156">
        <f t="shared" si="5"/>
        <v>570</v>
      </c>
      <c r="C62" s="152">
        <f>Imin+(Imax-Imin)*0.5</f>
        <v>1.7504999999999999</v>
      </c>
      <c r="D62" s="17">
        <f t="shared" si="10"/>
        <v>0.42981255308283833</v>
      </c>
      <c r="E62" s="17">
        <f t="shared" si="11"/>
        <v>1.3534358396670574</v>
      </c>
      <c r="F62" s="17">
        <f t="shared" si="8"/>
        <v>1.1758672119520603</v>
      </c>
      <c r="G62" s="17">
        <f t="shared" si="9"/>
        <v>1.3543395429251464</v>
      </c>
      <c r="H62" s="17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s="39" customFormat="1" ht="13" customHeight="1">
      <c r="A63" s="17">
        <f>IF(OR('Power Loss'!$B$17="AP63206",'Power Loss'!$B$17="AP63356"), 0, IF(A32&gt;$E$9, 0, 2/((Vin-Vout)*Vout/(2*Vin*Lout*0.000001*($E$9-A32)))))</f>
        <v>0</v>
      </c>
      <c r="B63" s="156">
        <f t="shared" si="5"/>
        <v>570</v>
      </c>
      <c r="C63" s="152">
        <f>Imin+(Imax-Imin)*0.55</f>
        <v>1.9254500000000001</v>
      </c>
      <c r="D63" s="17">
        <f t="shared" si="10"/>
        <v>0.43101482025133397</v>
      </c>
      <c r="E63" s="17">
        <f t="shared" si="11"/>
        <v>1.3572216562120278</v>
      </c>
      <c r="F63" s="17">
        <f t="shared" si="8"/>
        <v>1.289995622849216</v>
      </c>
      <c r="G63" s="17">
        <f t="shared" si="9"/>
        <v>1.4821515490003401</v>
      </c>
      <c r="H63" s="17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s="39" customFormat="1" ht="13" customHeight="1">
      <c r="A64" s="17">
        <f>IF(OR('Power Loss'!$B$17="AP63206",'Power Loss'!$B$17="AP63356"), 0, IF(A33&gt;$E$9, 0, 2/((Vin-Vout)*Vout/(2*Vin*Lout*0.000001*($E$9-A33)))))</f>
        <v>0</v>
      </c>
      <c r="B64" s="156">
        <f t="shared" si="5"/>
        <v>570</v>
      </c>
      <c r="C64" s="152">
        <f>Imin+(Imax-Imin)*0.6</f>
        <v>2.1004</v>
      </c>
      <c r="D64" s="17">
        <f t="shared" si="10"/>
        <v>0.43221839722457134</v>
      </c>
      <c r="E64" s="17">
        <f t="shared" si="11"/>
        <v>1.3610115971983805</v>
      </c>
      <c r="F64" s="17">
        <f t="shared" si="8"/>
        <v>1.4048230253837868</v>
      </c>
      <c r="G64" s="17">
        <f t="shared" si="9"/>
        <v>1.6101289207163665</v>
      </c>
      <c r="H64" s="17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30" s="39" customFormat="1" ht="13" customHeight="1">
      <c r="A65" s="17">
        <f>IF(OR('Power Loss'!$B$17="AP63206",'Power Loss'!$B$17="AP63356"), 0, IF(A34&gt;$E$9, 0, 2/((Vin-Vout)*Vout/(2*Vin*Lout*0.000001*($E$9-A34)))))</f>
        <v>0</v>
      </c>
      <c r="B65" s="156">
        <f t="shared" si="5"/>
        <v>570</v>
      </c>
      <c r="C65" s="152">
        <f>Imin+(Imax-Imin)*0.65</f>
        <v>2.27535</v>
      </c>
      <c r="D65" s="17">
        <f t="shared" si="10"/>
        <v>0.43342328614415876</v>
      </c>
      <c r="E65" s="17">
        <f t="shared" si="11"/>
        <v>1.364805669369821</v>
      </c>
      <c r="F65" s="17">
        <f t="shared" si="8"/>
        <v>1.5202646501559414</v>
      </c>
      <c r="G65" s="17">
        <f t="shared" si="9"/>
        <v>1.7381707507937481</v>
      </c>
      <c r="H65" s="17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30" s="39" customFormat="1" ht="13" customHeight="1">
      <c r="A66" s="17">
        <f>IF(OR('Power Loss'!$B$17="AP63206",'Power Loss'!$B$17="AP63356"), 0, IF(A35&gt;$E$9, 0, 2/((Vin-Vout)*Vout/(2*Vin*Lout*0.000001*($E$9-A35)))))</f>
        <v>0</v>
      </c>
      <c r="B66" s="156">
        <f t="shared" si="5"/>
        <v>570</v>
      </c>
      <c r="C66" s="152">
        <f>Imin+(Imax-Imin)*0.7</f>
        <v>2.4502999999999999</v>
      </c>
      <c r="D66" s="17">
        <f t="shared" si="10"/>
        <v>0.43462948915637556</v>
      </c>
      <c r="E66" s="17">
        <f t="shared" si="11"/>
        <v>1.3686038794847635</v>
      </c>
      <c r="F66" s="17">
        <f t="shared" si="8"/>
        <v>1.6362590400610493</v>
      </c>
      <c r="G66" s="17">
        <f t="shared" si="9"/>
        <v>1.8662036755751554</v>
      </c>
      <c r="H66" s="17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40"/>
      <c r="Y66" s="40"/>
      <c r="Z66" s="40"/>
      <c r="AA66" s="40"/>
      <c r="AB66" s="40"/>
      <c r="AC66" s="40"/>
      <c r="AD66" s="40"/>
    </row>
    <row r="67" spans="1:30" s="39" customFormat="1" ht="13" customHeight="1">
      <c r="A67" s="17">
        <f>IF(OR('Power Loss'!$B$17="AP63206",'Power Loss'!$B$17="AP63356"), 0, IF(A36&gt;$E$9, 0, 2/((Vin-Vout)*Vout/(2*Vin*Lout*0.000001*($E$9-A36)))))</f>
        <v>0</v>
      </c>
      <c r="B67" s="156">
        <f t="shared" si="5"/>
        <v>570</v>
      </c>
      <c r="C67" s="152">
        <f>Imin+(Imax-Imin)*0.75</f>
        <v>2.6252499999999999</v>
      </c>
      <c r="D67" s="17">
        <f t="shared" si="10"/>
        <v>0.43583700841218576</v>
      </c>
      <c r="E67" s="17">
        <f t="shared" si="11"/>
        <v>1.3724062343163743</v>
      </c>
      <c r="F67" s="17">
        <f t="shared" si="8"/>
        <v>1.7527605823043571</v>
      </c>
      <c r="G67" s="17">
        <f t="shared" si="9"/>
        <v>1.9941730473939892</v>
      </c>
      <c r="H67" s="17"/>
      <c r="I67" s="31" t="s">
        <v>130</v>
      </c>
      <c r="J67" s="31" t="s">
        <v>132</v>
      </c>
      <c r="K67" s="31" t="s">
        <v>134</v>
      </c>
      <c r="L67" s="31" t="s">
        <v>136</v>
      </c>
      <c r="M67" s="31" t="s">
        <v>138</v>
      </c>
      <c r="N67" s="31" t="s">
        <v>140</v>
      </c>
      <c r="O67" s="31" t="s">
        <v>142</v>
      </c>
      <c r="P67" s="31" t="s">
        <v>144</v>
      </c>
      <c r="Q67" s="31" t="s">
        <v>41</v>
      </c>
      <c r="R67" s="31"/>
      <c r="S67" s="31"/>
      <c r="T67" s="31"/>
      <c r="U67" s="31"/>
      <c r="V67" s="31"/>
      <c r="W67" s="31"/>
      <c r="X67" s="40"/>
      <c r="Y67" s="40"/>
      <c r="Z67" s="40"/>
      <c r="AA67" s="40"/>
      <c r="AB67" s="40"/>
      <c r="AC67" s="40"/>
      <c r="AD67" s="40"/>
    </row>
    <row r="68" spans="1:30" s="39" customFormat="1" ht="13" customHeight="1">
      <c r="A68" s="17">
        <f>IF(OR('Power Loss'!$B$17="AP63206",'Power Loss'!$B$17="AP63356"), 0, IF(A37&gt;$E$9, 0, 2/((Vin-Vout)*Vout/(2*Vin*Lout*0.000001*($E$9-A37)))))</f>
        <v>0</v>
      </c>
      <c r="B68" s="156">
        <f t="shared" si="5"/>
        <v>570</v>
      </c>
      <c r="C68" s="152">
        <f>Imin+(Imax-Imin)*0.8</f>
        <v>2.8002000000000002</v>
      </c>
      <c r="D68" s="17">
        <f t="shared" si="10"/>
        <v>0.43704584606725011</v>
      </c>
      <c r="E68" s="17">
        <f t="shared" si="11"/>
        <v>1.3762127406526095</v>
      </c>
      <c r="F68" s="17">
        <f t="shared" si="8"/>
        <v>1.8697347252448959</v>
      </c>
      <c r="G68" s="17">
        <f t="shared" si="9"/>
        <v>2.1220372812090913</v>
      </c>
      <c r="H68" s="17"/>
      <c r="I68" s="31">
        <f>2*Ron_u*0.001*'Efficiency Summary'!B68*'Efficiency Summary'!$B$44*Vout/(3*Vin)</f>
        <v>2953.6752202606613</v>
      </c>
      <c r="J68" s="99">
        <f>+B68*(Vout*(Vin-Vout)/('Efficiency Summary'!$B$44*Lout*0.000001))*'Power Loss'!$B$53*0.000000001</f>
        <v>0.32274860307692316</v>
      </c>
      <c r="K68" s="31">
        <f>+'Power Loss'!$B$50*0.000000001*Vin^2*2*'Efficiency Summary'!B68*Vout*(Vin-Vout)/(Lout*0.000001*'Power Loss'!$B$79*'Efficiency Summary'!$B$44^2)</f>
        <v>2.491359950368695E-3</v>
      </c>
      <c r="L68" s="31">
        <f>2*Ron_l*0.001*'Efficiency Summary'!$B$46*'Efficiency Summary'!$B$44*(Vin-Vout)/(3*Vin)</f>
        <v>864.0281428352589</v>
      </c>
      <c r="M68" s="31">
        <f>+'Power Loss'!$B$67*0.000000001*Vin^2*2*'Efficiency Summary'!B68*Vout*(Vin-Vout)/(Lout*0.000001*'Power Loss'!$B$79*'Efficiency Summary'!$B$44^2)</f>
        <v>4.0070281272845763E-3</v>
      </c>
      <c r="N68" s="31">
        <f>+$K$44*$K$45*0.000000001*2*B68*Vout*(Vin-Vout)/('Efficiency Summary'!$B$44^2*Lout*0.000001*Vin)</f>
        <v>1.1784379266267823E-4</v>
      </c>
      <c r="O68" s="31">
        <f>+ESR*0.001*B68*$B$44/(6*ncap)</f>
        <v>45.170903963204665</v>
      </c>
      <c r="P68" s="31">
        <f>+$K$46*0.000001*(1+20*B68)*Vin</f>
        <v>10.944959999999998</v>
      </c>
      <c r="Q68" s="99">
        <f>+B68*Vout*100/(Vout*'Efficiency Summary'!B68+SUM('Efficiency Summary'!G68:P68))</f>
        <v>42.371176497687891</v>
      </c>
      <c r="R68" s="31"/>
      <c r="S68" s="31"/>
      <c r="T68" s="31"/>
      <c r="U68" s="31"/>
      <c r="V68" s="31"/>
      <c r="W68" s="31"/>
      <c r="X68" s="40"/>
      <c r="Y68" s="40"/>
      <c r="Z68" s="40"/>
      <c r="AA68" s="40"/>
      <c r="AB68" s="40"/>
      <c r="AC68" s="40"/>
      <c r="AD68" s="40"/>
    </row>
    <row r="69" spans="1:30" s="39" customFormat="1" ht="13" customHeight="1">
      <c r="A69" s="17">
        <f>IF(OR('Power Loss'!$B$17="AP63206",'Power Loss'!$B$17="AP63356"), 0, IF(A38&gt;$E$9, 0, 2/((Vin-Vout)*Vout/(2*Vin*Lout*0.000001*($E$9-A38)))))</f>
        <v>0</v>
      </c>
      <c r="B69" s="156">
        <f t="shared" si="5"/>
        <v>570</v>
      </c>
      <c r="C69" s="152">
        <f>Imin+(Imax-Imin)*0.85</f>
        <v>2.9751499999999997</v>
      </c>
      <c r="D69" s="17">
        <f t="shared" si="10"/>
        <v>0.438256004281939</v>
      </c>
      <c r="E69" s="17">
        <f t="shared" si="11"/>
        <v>1.3800234052962541</v>
      </c>
      <c r="F69" s="17">
        <f t="shared" si="8"/>
        <v>1.9871548224458102</v>
      </c>
      <c r="G69" s="17">
        <f t="shared" si="9"/>
        <v>2.2497641248349014</v>
      </c>
      <c r="H69" s="17"/>
      <c r="I69" s="31">
        <f>2*Ron_u*0.001*'Efficiency Summary'!B69*'Efficiency Summary'!$B$44*Vout/(3*Vin)</f>
        <v>2953.6752202606613</v>
      </c>
      <c r="J69" s="99">
        <f>+B69*(Vout*(Vin-Vout)/('Efficiency Summary'!$B$44*Lout*0.000001))*'Power Loss'!$B$53*0.000000001</f>
        <v>0.32274860307692316</v>
      </c>
      <c r="K69" s="31">
        <f>+'Power Loss'!$B$50*0.000000001*Vin^2*2*'Efficiency Summary'!B69*Vout*(Vin-Vout)/(Lout*0.000001*'Power Loss'!$B$79*'Efficiency Summary'!$B$44^2)</f>
        <v>2.491359950368695E-3</v>
      </c>
      <c r="L69" s="31">
        <f>2*Ron_l*0.001*'Efficiency Summary'!$B$46*'Efficiency Summary'!$B$44*(Vin-Vout)/(3*Vin)</f>
        <v>864.0281428352589</v>
      </c>
      <c r="M69" s="31">
        <f>+'Power Loss'!$B$67*0.000000001*Vin^2*2*'Efficiency Summary'!B69*Vout*(Vin-Vout)/(Lout*0.000001*'Power Loss'!$B$79*'Efficiency Summary'!$B$44^2)</f>
        <v>4.0070281272845763E-3</v>
      </c>
      <c r="N69" s="31">
        <f>+$K$44*$K$45*0.000000001*2*B69*Vout*(Vin-Vout)/('Efficiency Summary'!$B$44^2*Lout*0.000001*Vin)</f>
        <v>1.1784379266267823E-4</v>
      </c>
      <c r="O69" s="31">
        <f>+ESR*0.001*B69*$B$44/(6*ncap)</f>
        <v>45.170903963204665</v>
      </c>
      <c r="P69" s="31">
        <f>+$K$46*0.000001*(1+20*B69)*Vin</f>
        <v>10.944959999999998</v>
      </c>
      <c r="Q69" s="99">
        <f>+B69*Vout*100/(Vout*'Efficiency Summary'!B69+SUM('Efficiency Summary'!G69:P69))</f>
        <v>42.370371916045777</v>
      </c>
      <c r="R69" s="31"/>
      <c r="S69" s="31"/>
      <c r="T69" s="31"/>
      <c r="U69" s="31"/>
      <c r="V69" s="31"/>
      <c r="W69" s="31"/>
      <c r="X69" s="40"/>
      <c r="Y69" s="40"/>
      <c r="Z69" s="40"/>
      <c r="AA69" s="40"/>
      <c r="AB69" s="40"/>
      <c r="AC69" s="40"/>
      <c r="AD69" s="40"/>
    </row>
    <row r="70" spans="1:30" s="39" customFormat="1" ht="13" customHeight="1">
      <c r="A70" s="17">
        <f>IF(OR('Power Loss'!$B$17="AP63206",'Power Loss'!$B$17="AP63356"), 0, IF(A39&gt;$E$9, 0, 2/((Vin-Vout)*Vout/(2*Vin*Lout*0.000001*($E$9-A39)))))</f>
        <v>0</v>
      </c>
      <c r="B70" s="156">
        <f t="shared" si="5"/>
        <v>570</v>
      </c>
      <c r="C70" s="152">
        <f>Imin+(Imax-Imin)*0.9</f>
        <v>3.1501000000000001</v>
      </c>
      <c r="D70" s="17">
        <f t="shared" si="10"/>
        <v>0.43946748522134571</v>
      </c>
      <c r="E70" s="17">
        <f t="shared" si="11"/>
        <v>1.3838382350649665</v>
      </c>
      <c r="F70" s="17">
        <f t="shared" si="8"/>
        <v>2.1049999951859477</v>
      </c>
      <c r="G70" s="17">
        <f t="shared" si="9"/>
        <v>2.3773281330104195</v>
      </c>
      <c r="H70" s="17"/>
      <c r="I70" s="31">
        <f>2*Ron_u*0.001*'Efficiency Summary'!B70*'Efficiency Summary'!$B$44*Vout/(3*Vin)</f>
        <v>2953.6752202606613</v>
      </c>
      <c r="J70" s="99">
        <f>+B70*(Vout*(Vin-Vout)/('Efficiency Summary'!$B$44*Lout*0.000001))*'Power Loss'!$B$53*0.000000001</f>
        <v>0.32274860307692316</v>
      </c>
      <c r="K70" s="31">
        <f>+'Power Loss'!$B$50*0.000000001*Vin^2*2*'Efficiency Summary'!B70*Vout*(Vin-Vout)/(Lout*0.000001*'Power Loss'!$B$79*'Efficiency Summary'!$B$44^2)</f>
        <v>2.491359950368695E-3</v>
      </c>
      <c r="L70" s="31">
        <f>2*Ron_l*0.001*'Efficiency Summary'!$B$46*'Efficiency Summary'!$B$44*(Vin-Vout)/(3*Vin)</f>
        <v>864.0281428352589</v>
      </c>
      <c r="M70" s="31">
        <f>+'Power Loss'!$B$67*0.000000001*Vin^2*2*'Efficiency Summary'!B70*Vout*(Vin-Vout)/(Lout*0.000001*'Power Loss'!$B$79*'Efficiency Summary'!$B$44^2)</f>
        <v>4.0070281272845763E-3</v>
      </c>
      <c r="N70" s="31">
        <f>+$K$44*$K$45*0.000000001*2*B70*Vout*(Vin-Vout)/('Efficiency Summary'!$B$44^2*Lout*0.000001*Vin)</f>
        <v>1.1784379266267823E-4</v>
      </c>
      <c r="O70" s="31">
        <f>+ESR*0.001*B70*$B$44/(6*ncap)</f>
        <v>45.170903963204665</v>
      </c>
      <c r="P70" s="31">
        <f>+$K$46*0.000001*(1+20*B70)*Vin</f>
        <v>10.944959999999998</v>
      </c>
      <c r="Q70" s="99">
        <f>+B70*Vout*100/(Vout*'Efficiency Summary'!B70+SUM('Efficiency Summary'!G70:P70))</f>
        <v>42.369568390639976</v>
      </c>
      <c r="R70" s="31"/>
      <c r="S70" s="31"/>
      <c r="T70" s="31"/>
      <c r="U70" s="31"/>
      <c r="V70" s="31"/>
      <c r="W70" s="31"/>
      <c r="X70" s="40"/>
      <c r="Y70" s="40"/>
      <c r="Z70" s="40"/>
      <c r="AA70" s="40"/>
      <c r="AB70" s="40"/>
      <c r="AC70" s="40"/>
      <c r="AD70" s="40"/>
    </row>
    <row r="71" spans="1:30" s="39" customFormat="1" ht="13" customHeight="1">
      <c r="A71" s="17">
        <f>IF(OR('Power Loss'!$B$17="AP63206",'Power Loss'!$B$17="AP63356"), 0, IF(A40&gt;$E$9, 0, 2/((Vin-Vout)*Vout/(2*Vin*Lout*0.000001*($E$9-A40)))))</f>
        <v>0</v>
      </c>
      <c r="B71" s="156">
        <f t="shared" si="5"/>
        <v>570</v>
      </c>
      <c r="C71" s="152">
        <f>Imin+(Imax-Imin)*0.95</f>
        <v>3.3250499999999996</v>
      </c>
      <c r="D71" s="17">
        <f t="shared" si="10"/>
        <v>0.44068029105529899</v>
      </c>
      <c r="E71" s="17">
        <f t="shared" si="11"/>
        <v>1.3876572367913149</v>
      </c>
      <c r="F71" s="17">
        <f t="shared" si="8"/>
        <v>2.2232536508382568</v>
      </c>
      <c r="G71" s="17">
        <f t="shared" si="9"/>
        <v>2.5047089166413401</v>
      </c>
      <c r="H71" s="17"/>
      <c r="I71" s="31">
        <f>2*Ron_u*0.001*'Efficiency Summary'!B71*'Efficiency Summary'!$B$44*Vout/(3*Vin)</f>
        <v>2953.6752202606613</v>
      </c>
      <c r="J71" s="99">
        <f>+B71*(Vout*(Vin-Vout)/('Efficiency Summary'!$B$44*Lout*0.000001))*'Power Loss'!$B$53*0.000000001</f>
        <v>0.32274860307692316</v>
      </c>
      <c r="K71" s="31">
        <f>+'Power Loss'!$B$50*0.000000001*Vin^2*2*'Efficiency Summary'!B71*Vout*(Vin-Vout)/(Lout*0.000001*'Power Loss'!$B$79*'Efficiency Summary'!$B$44^2)</f>
        <v>2.491359950368695E-3</v>
      </c>
      <c r="L71" s="31">
        <f>2*Ron_l*0.001*'Efficiency Summary'!$B$46*'Efficiency Summary'!$B$44*(Vin-Vout)/(3*Vin)</f>
        <v>864.0281428352589</v>
      </c>
      <c r="M71" s="31">
        <f>+'Power Loss'!$B$67*0.000000001*Vin^2*2*'Efficiency Summary'!B71*Vout*(Vin-Vout)/(Lout*0.000001*'Power Loss'!$B$79*'Efficiency Summary'!$B$44^2)</f>
        <v>4.0070281272845763E-3</v>
      </c>
      <c r="N71" s="31">
        <f>+$K$44*$K$45*0.000000001*2*B71*Vout*(Vin-Vout)/('Efficiency Summary'!$B$44^2*Lout*0.000001*Vin)</f>
        <v>1.1784379266267823E-4</v>
      </c>
      <c r="O71" s="31">
        <f>+ESR*0.001*B71*$B$44/(6*ncap)</f>
        <v>45.170903963204665</v>
      </c>
      <c r="P71" s="31">
        <f>+$K$46*0.000001*(1+20*B71)*Vin</f>
        <v>10.944959999999998</v>
      </c>
      <c r="Q71" s="99">
        <f>+B71*Vout*100/(Vout*'Efficiency Summary'!B71+SUM('Efficiency Summary'!G71:P71))</f>
        <v>42.368766049775608</v>
      </c>
      <c r="R71" s="31"/>
      <c r="S71" s="31"/>
      <c r="T71" s="31"/>
      <c r="U71" s="31"/>
      <c r="V71" s="31"/>
      <c r="W71" s="31"/>
      <c r="X71" s="40"/>
      <c r="Y71" s="40"/>
      <c r="Z71" s="40"/>
      <c r="AA71" s="40"/>
      <c r="AB71" s="40"/>
      <c r="AC71" s="40"/>
      <c r="AD71" s="40"/>
    </row>
    <row r="72" spans="1:30" s="39" customFormat="1" ht="13" customHeight="1">
      <c r="A72" s="17">
        <f>IF(OR('Power Loss'!$B$17="AP63206",'Power Loss'!$B$17="AP63356"), 0, IF(A41&gt;$E$9, 0, 2/((Vin-Vout)*Vout/(2*Vin*Lout*0.000001*($E$9-A41)))))</f>
        <v>0</v>
      </c>
      <c r="B72" s="156">
        <f t="shared" si="5"/>
        <v>570</v>
      </c>
      <c r="C72" s="152">
        <f>Imin+(Imax-Imin)*1</f>
        <v>3.5</v>
      </c>
      <c r="D72" s="17">
        <f t="shared" si="10"/>
        <v>0.41666666666666669</v>
      </c>
      <c r="E72" s="17">
        <f>(Vin-Vout)/Lout/10^(-6)*D72/Fs/10^3</f>
        <v>1.3120407857249965</v>
      </c>
      <c r="F72" s="17">
        <f t="shared" si="8"/>
        <v>2.2724302567176924</v>
      </c>
      <c r="G72" s="17">
        <f t="shared" si="9"/>
        <v>2.688775740054282</v>
      </c>
      <c r="H72" s="17"/>
      <c r="I72" s="31">
        <f>2*Ron_u*0.001*'Efficiency Summary'!B72*'Efficiency Summary'!$B$44*Vout/(3*Vin)</f>
        <v>2953.6752202606613</v>
      </c>
      <c r="J72" s="99">
        <f>+B72*(Vout*(Vin-Vout)/('Efficiency Summary'!$B$44*Lout*0.000001))*'Power Loss'!$B$53*0.000000001</f>
        <v>0.32274860307692316</v>
      </c>
      <c r="K72" s="31">
        <f>+'Power Loss'!$B$50*0.000000001*Vin^2*2*'Efficiency Summary'!B72*Vout*(Vin-Vout)/(Lout*0.000001*'Power Loss'!$B$79*'Efficiency Summary'!$B$44^2)</f>
        <v>2.491359950368695E-3</v>
      </c>
      <c r="L72" s="31">
        <f>2*Ron_l*0.001*'Efficiency Summary'!$B$46*'Efficiency Summary'!$B$44*(Vin-Vout)/(3*Vin)</f>
        <v>864.0281428352589</v>
      </c>
      <c r="M72" s="31">
        <f>+'Power Loss'!$B$67*0.000000001*Vin^2*2*'Efficiency Summary'!B72*Vout*(Vin-Vout)/(Lout*0.000001*'Power Loss'!$B$79*'Efficiency Summary'!$B$44^2)</f>
        <v>4.0070281272845763E-3</v>
      </c>
      <c r="N72" s="31">
        <f>+$K$44*$K$45*0.000000001*2*B72*Vout*(Vin-Vout)/('Efficiency Summary'!$B$44^2*Lout*0.000001*Vin)</f>
        <v>1.1784379266267823E-4</v>
      </c>
      <c r="O72" s="31">
        <f>+ESR*0.001*B72*$B$44/(6*ncap)</f>
        <v>45.170903963204665</v>
      </c>
      <c r="P72" s="31">
        <f>+$K$46*0.000001*(1+20*B72)*Vin</f>
        <v>10.944959999999998</v>
      </c>
      <c r="Q72" s="99">
        <f>+B72*Vout*100/(Vout*'Efficiency Summary'!B72+SUM('Efficiency Summary'!G72:P72))</f>
        <v>42.367606710883869</v>
      </c>
      <c r="R72" s="31"/>
      <c r="S72" s="31"/>
      <c r="T72" s="31"/>
      <c r="U72" s="31"/>
      <c r="V72" s="31"/>
      <c r="W72" s="31"/>
      <c r="X72" s="40"/>
      <c r="Y72" s="40"/>
      <c r="Z72" s="40"/>
      <c r="AA72" s="40"/>
      <c r="AB72" s="40"/>
      <c r="AC72" s="40"/>
      <c r="AD72" s="40"/>
    </row>
    <row r="73" spans="1:30" s="39" customFormat="1" ht="13" customHeight="1">
      <c r="A73" s="31"/>
      <c r="B73" s="31"/>
      <c r="C73" s="99"/>
      <c r="D73" s="99"/>
      <c r="E73" s="99"/>
      <c r="F73" s="99"/>
      <c r="G73" s="99"/>
      <c r="H73" s="99"/>
      <c r="I73" s="31"/>
      <c r="J73" s="99"/>
      <c r="K73" s="31"/>
      <c r="L73" s="31"/>
      <c r="M73" s="31"/>
      <c r="N73" s="31"/>
      <c r="O73" s="31"/>
      <c r="P73" s="31"/>
      <c r="Q73" s="99"/>
      <c r="R73" s="31"/>
      <c r="S73" s="31"/>
      <c r="T73" s="31"/>
      <c r="U73" s="31"/>
      <c r="V73" s="31"/>
      <c r="W73" s="31"/>
      <c r="X73" s="40"/>
      <c r="Y73" s="40"/>
      <c r="Z73" s="40"/>
      <c r="AA73" s="40"/>
      <c r="AB73" s="40"/>
      <c r="AC73" s="40"/>
      <c r="AD73" s="40"/>
    </row>
    <row r="74" spans="1:30" s="39" customFormat="1" ht="13" customHeight="1">
      <c r="A74" s="31"/>
      <c r="B74" s="31"/>
      <c r="C74" s="99"/>
      <c r="D74" s="99"/>
      <c r="E74" s="99"/>
      <c r="F74" s="99"/>
      <c r="G74" s="99"/>
      <c r="H74" s="99"/>
      <c r="I74" s="31"/>
      <c r="J74" s="99"/>
      <c r="K74" s="31"/>
      <c r="L74" s="31"/>
      <c r="M74" s="31"/>
      <c r="N74" s="31"/>
      <c r="O74" s="31"/>
      <c r="P74" s="31"/>
      <c r="Q74" s="99"/>
      <c r="R74" s="31"/>
      <c r="S74" s="31"/>
      <c r="T74" s="31"/>
      <c r="U74" s="31"/>
      <c r="V74" s="31"/>
      <c r="W74" s="31"/>
      <c r="X74" s="40"/>
      <c r="Y74" s="40"/>
      <c r="Z74" s="40"/>
      <c r="AA74" s="40"/>
      <c r="AB74" s="40"/>
      <c r="AC74" s="40"/>
      <c r="AD74" s="40"/>
    </row>
    <row r="75" spans="1:30" s="39" customFormat="1" ht="13" customHeight="1">
      <c r="A75" s="31"/>
      <c r="B75" s="31"/>
      <c r="C75" s="99"/>
      <c r="D75" s="99"/>
      <c r="E75" s="99"/>
      <c r="F75" s="99"/>
      <c r="G75" s="99"/>
      <c r="H75" s="99"/>
      <c r="I75" s="31"/>
      <c r="J75" s="99"/>
      <c r="K75" s="31"/>
      <c r="L75" s="31"/>
      <c r="M75" s="31"/>
      <c r="N75" s="31"/>
      <c r="O75" s="31"/>
      <c r="P75" s="31"/>
      <c r="Q75" s="99"/>
      <c r="R75" s="31"/>
      <c r="S75" s="31"/>
      <c r="T75" s="31"/>
      <c r="U75" s="31"/>
      <c r="V75" s="31"/>
      <c r="W75" s="31"/>
      <c r="X75" s="40"/>
      <c r="Y75" s="40"/>
      <c r="Z75" s="40"/>
      <c r="AA75" s="40"/>
      <c r="AB75" s="40"/>
      <c r="AC75" s="40"/>
      <c r="AD75" s="40"/>
    </row>
    <row r="76" spans="1:30" s="39" customFormat="1" ht="13" customHeight="1">
      <c r="A76" s="31"/>
      <c r="B76" s="31"/>
      <c r="C76" s="99"/>
      <c r="D76" s="99"/>
      <c r="E76" s="99"/>
      <c r="F76" s="99"/>
      <c r="G76" s="99"/>
      <c r="H76" s="99"/>
      <c r="I76" s="31"/>
      <c r="J76" s="99"/>
      <c r="K76" s="31"/>
      <c r="L76" s="31"/>
      <c r="M76" s="31"/>
      <c r="N76" s="31"/>
      <c r="O76" s="31"/>
      <c r="P76" s="31"/>
      <c r="Q76" s="99"/>
      <c r="R76" s="31"/>
      <c r="S76" s="31"/>
      <c r="T76" s="31"/>
      <c r="U76" s="31"/>
      <c r="V76" s="31"/>
      <c r="W76" s="31"/>
      <c r="X76" s="40"/>
      <c r="Y76" s="40"/>
      <c r="Z76" s="40"/>
      <c r="AA76" s="40"/>
      <c r="AB76" s="40"/>
      <c r="AC76" s="40"/>
      <c r="AD76" s="40"/>
    </row>
    <row r="77" spans="1:30" s="39" customFormat="1" ht="13" customHeight="1">
      <c r="A77" s="31"/>
      <c r="B77" s="31"/>
      <c r="C77" s="99"/>
      <c r="D77" s="99"/>
      <c r="E77" s="99"/>
      <c r="F77" s="99"/>
      <c r="G77" s="99"/>
      <c r="H77" s="99"/>
      <c r="I77" s="31"/>
      <c r="J77" s="99"/>
      <c r="K77" s="31"/>
      <c r="L77" s="31"/>
      <c r="M77" s="31"/>
      <c r="N77" s="31"/>
      <c r="O77" s="31"/>
      <c r="P77" s="31"/>
      <c r="Q77" s="99"/>
      <c r="R77" s="31"/>
      <c r="S77" s="31"/>
      <c r="T77" s="31"/>
      <c r="U77" s="31"/>
      <c r="V77" s="31"/>
      <c r="W77" s="31"/>
      <c r="X77" s="40"/>
      <c r="Y77" s="40"/>
      <c r="Z77" s="40"/>
      <c r="AA77" s="40"/>
      <c r="AB77" s="40"/>
      <c r="AC77" s="40"/>
      <c r="AD77" s="40"/>
    </row>
    <row r="78" spans="1:30" s="39" customFormat="1" ht="13" customHeight="1">
      <c r="A78" s="31"/>
      <c r="B78" s="31"/>
      <c r="C78" s="99"/>
      <c r="D78" s="99"/>
      <c r="E78" s="99"/>
      <c r="F78" s="99"/>
      <c r="G78" s="99"/>
      <c r="H78" s="99"/>
      <c r="I78" s="31"/>
      <c r="J78" s="99"/>
      <c r="K78" s="31"/>
      <c r="L78" s="31"/>
      <c r="M78" s="31"/>
      <c r="N78" s="31"/>
      <c r="O78" s="31"/>
      <c r="P78" s="31"/>
      <c r="Q78" s="99"/>
      <c r="R78" s="31"/>
      <c r="S78" s="31"/>
      <c r="T78" s="31"/>
      <c r="U78" s="31"/>
      <c r="V78" s="31"/>
      <c r="W78" s="31"/>
      <c r="X78" s="40"/>
      <c r="Y78" s="40"/>
      <c r="Z78" s="40"/>
      <c r="AA78" s="40"/>
      <c r="AB78" s="40"/>
      <c r="AC78" s="40"/>
      <c r="AD78" s="40"/>
    </row>
    <row r="79" spans="1:30" s="39" customFormat="1" ht="13" customHeight="1">
      <c r="A79" s="31"/>
      <c r="B79" s="31"/>
      <c r="C79" s="99"/>
      <c r="D79" s="99"/>
      <c r="E79" s="99"/>
      <c r="F79" s="99"/>
      <c r="G79" s="99"/>
      <c r="H79" s="99"/>
      <c r="I79" s="31"/>
      <c r="J79" s="99"/>
      <c r="K79" s="31"/>
      <c r="L79" s="31"/>
      <c r="M79" s="31"/>
      <c r="N79" s="31"/>
      <c r="O79" s="31"/>
      <c r="P79" s="31"/>
      <c r="Q79" s="99"/>
      <c r="R79" s="31"/>
      <c r="S79" s="31"/>
      <c r="T79" s="31"/>
      <c r="U79" s="31"/>
      <c r="V79" s="31"/>
      <c r="W79" s="31"/>
      <c r="X79" s="40"/>
      <c r="Y79" s="40"/>
      <c r="Z79" s="40"/>
      <c r="AA79" s="40"/>
      <c r="AB79" s="40"/>
      <c r="AC79" s="40"/>
      <c r="AD79" s="40"/>
    </row>
    <row r="80" spans="1:30" s="39" customFormat="1" ht="13" customHeight="1">
      <c r="A80" s="31"/>
      <c r="B80" s="31"/>
      <c r="C80" s="99"/>
      <c r="D80" s="99"/>
      <c r="E80" s="99"/>
      <c r="F80" s="99"/>
      <c r="G80" s="99"/>
      <c r="H80" s="99"/>
      <c r="I80" s="31"/>
      <c r="J80" s="99"/>
      <c r="K80" s="31"/>
      <c r="L80" s="31"/>
      <c r="M80" s="31"/>
      <c r="N80" s="31"/>
      <c r="O80" s="31"/>
      <c r="P80" s="31"/>
      <c r="Q80" s="99"/>
      <c r="R80" s="31"/>
      <c r="S80" s="31"/>
      <c r="T80" s="31"/>
      <c r="U80" s="31"/>
      <c r="V80" s="31"/>
      <c r="W80" s="31"/>
      <c r="X80" s="40"/>
      <c r="Y80" s="40"/>
      <c r="Z80" s="40"/>
      <c r="AA80" s="40"/>
      <c r="AB80" s="40"/>
      <c r="AC80" s="40"/>
      <c r="AD80" s="40"/>
    </row>
    <row r="81" spans="1:30" s="39" customFormat="1" ht="13" customHeight="1">
      <c r="A81" s="31"/>
      <c r="B81" s="31"/>
      <c r="C81" s="99"/>
      <c r="D81" s="99"/>
      <c r="E81" s="99"/>
      <c r="F81" s="99"/>
      <c r="G81" s="99"/>
      <c r="H81" s="99"/>
      <c r="I81" s="31"/>
      <c r="J81" s="99"/>
      <c r="K81" s="31"/>
      <c r="L81" s="31"/>
      <c r="M81" s="31"/>
      <c r="N81" s="31"/>
      <c r="O81" s="31"/>
      <c r="P81" s="31"/>
      <c r="Q81" s="99"/>
      <c r="R81" s="31"/>
      <c r="S81" s="31"/>
      <c r="T81" s="31"/>
      <c r="U81" s="31"/>
      <c r="V81" s="31"/>
      <c r="W81" s="31"/>
      <c r="X81" s="40"/>
      <c r="Y81" s="40"/>
      <c r="Z81" s="40"/>
      <c r="AA81" s="40"/>
      <c r="AB81" s="40"/>
      <c r="AC81" s="40"/>
      <c r="AD81" s="40"/>
    </row>
    <row r="82" spans="1:30" s="39" customFormat="1" ht="13" customHeight="1">
      <c r="A82" s="31"/>
      <c r="B82" s="31"/>
      <c r="C82" s="99"/>
      <c r="D82" s="99"/>
      <c r="E82" s="99"/>
      <c r="F82" s="99"/>
      <c r="G82" s="99"/>
      <c r="H82" s="99"/>
      <c r="I82" s="31"/>
      <c r="J82" s="99"/>
      <c r="K82" s="31"/>
      <c r="L82" s="31"/>
      <c r="M82" s="31"/>
      <c r="N82" s="31"/>
      <c r="O82" s="31"/>
      <c r="P82" s="31"/>
      <c r="Q82" s="99"/>
      <c r="R82" s="31"/>
      <c r="S82" s="31"/>
      <c r="T82" s="31"/>
      <c r="U82" s="31"/>
      <c r="V82" s="31"/>
      <c r="W82" s="31"/>
      <c r="X82" s="40"/>
      <c r="Y82" s="40"/>
      <c r="Z82" s="40"/>
      <c r="AA82" s="40"/>
      <c r="AB82" s="40"/>
      <c r="AC82" s="40"/>
      <c r="AD82" s="40"/>
    </row>
    <row r="83" spans="1:30" s="39" customFormat="1" ht="13" customHeight="1">
      <c r="A83" s="31"/>
      <c r="B83" s="31"/>
      <c r="C83" s="99"/>
      <c r="D83" s="99"/>
      <c r="E83" s="99"/>
      <c r="F83" s="99"/>
      <c r="G83" s="99"/>
      <c r="H83" s="99"/>
      <c r="I83" s="31"/>
      <c r="J83" s="99"/>
      <c r="K83" s="31"/>
      <c r="L83" s="31"/>
      <c r="M83" s="31"/>
      <c r="N83" s="31"/>
      <c r="O83" s="31"/>
      <c r="P83" s="31"/>
      <c r="Q83" s="99"/>
      <c r="R83" s="31"/>
      <c r="S83" s="31"/>
      <c r="T83" s="31"/>
      <c r="U83" s="31"/>
      <c r="V83" s="31"/>
      <c r="W83" s="31"/>
      <c r="X83" s="40"/>
      <c r="Y83" s="40"/>
      <c r="Z83" s="40"/>
      <c r="AA83" s="40"/>
      <c r="AB83" s="40"/>
      <c r="AC83" s="40"/>
      <c r="AD83" s="40"/>
    </row>
    <row r="84" spans="1:30" s="39" customFormat="1" ht="13" customHeight="1">
      <c r="A84" s="31"/>
      <c r="B84" s="31"/>
      <c r="C84" s="99"/>
      <c r="D84" s="99"/>
      <c r="E84" s="99"/>
      <c r="F84" s="99"/>
      <c r="G84" s="99"/>
      <c r="H84" s="99"/>
      <c r="I84" s="31"/>
      <c r="J84" s="99"/>
      <c r="K84" s="31"/>
      <c r="L84" s="31"/>
      <c r="M84" s="31"/>
      <c r="N84" s="31"/>
      <c r="O84" s="31"/>
      <c r="P84" s="31"/>
      <c r="Q84" s="99"/>
      <c r="R84" s="31"/>
      <c r="S84" s="31"/>
      <c r="T84" s="31"/>
      <c r="U84" s="31"/>
      <c r="V84" s="31"/>
      <c r="W84" s="31"/>
      <c r="X84" s="40"/>
      <c r="Y84" s="40"/>
      <c r="Z84" s="40"/>
      <c r="AA84" s="40"/>
      <c r="AB84" s="40"/>
      <c r="AC84" s="40"/>
      <c r="AD84" s="40"/>
    </row>
    <row r="85" spans="1:30" s="39" customFormat="1" ht="13" customHeight="1">
      <c r="A85" s="31"/>
      <c r="B85" s="31"/>
      <c r="C85" s="99"/>
      <c r="D85" s="99"/>
      <c r="E85" s="99"/>
      <c r="F85" s="99"/>
      <c r="G85" s="99"/>
      <c r="H85" s="99"/>
      <c r="I85" s="31"/>
      <c r="J85" s="99"/>
      <c r="K85" s="31"/>
      <c r="L85" s="31"/>
      <c r="M85" s="31"/>
      <c r="N85" s="31"/>
      <c r="O85" s="31"/>
      <c r="P85" s="31"/>
      <c r="Q85" s="99"/>
      <c r="R85" s="31"/>
      <c r="S85" s="31"/>
      <c r="T85" s="31"/>
      <c r="U85" s="31"/>
      <c r="V85" s="31"/>
      <c r="W85" s="31"/>
      <c r="X85" s="40"/>
      <c r="Y85" s="40"/>
      <c r="Z85" s="40"/>
      <c r="AA85" s="40"/>
      <c r="AB85" s="40"/>
      <c r="AC85" s="40"/>
      <c r="AD85" s="40"/>
    </row>
    <row r="86" spans="1:30" s="39" customFormat="1" ht="13" customHeight="1">
      <c r="A86" s="31"/>
      <c r="B86" s="31"/>
      <c r="C86" s="99"/>
      <c r="D86" s="99"/>
      <c r="E86" s="99"/>
      <c r="F86" s="99"/>
      <c r="G86" s="99"/>
      <c r="H86" s="99"/>
      <c r="I86" s="31"/>
      <c r="J86" s="99"/>
      <c r="K86" s="31"/>
      <c r="L86" s="31"/>
      <c r="M86" s="31"/>
      <c r="N86" s="31"/>
      <c r="O86" s="31"/>
      <c r="P86" s="31"/>
      <c r="Q86" s="99"/>
      <c r="R86" s="31"/>
      <c r="S86" s="31"/>
      <c r="T86" s="31"/>
      <c r="U86" s="31"/>
      <c r="V86" s="31"/>
      <c r="W86" s="31"/>
      <c r="X86" s="40"/>
      <c r="Y86" s="40"/>
      <c r="Z86" s="40"/>
      <c r="AA86" s="40"/>
      <c r="AB86" s="40"/>
      <c r="AC86" s="40"/>
      <c r="AD86" s="40"/>
    </row>
    <row r="87" spans="1:30" s="39" customFormat="1" ht="13" customHeight="1">
      <c r="A87" s="31"/>
      <c r="B87" s="31"/>
      <c r="C87" s="99"/>
      <c r="D87" s="99"/>
      <c r="E87" s="99"/>
      <c r="F87" s="99"/>
      <c r="G87" s="99"/>
      <c r="H87" s="99"/>
      <c r="I87" s="31"/>
      <c r="J87" s="99"/>
      <c r="K87" s="31"/>
      <c r="L87" s="31"/>
      <c r="M87" s="31"/>
      <c r="N87" s="31"/>
      <c r="O87" s="31"/>
      <c r="P87" s="31"/>
      <c r="Q87" s="99"/>
      <c r="R87" s="31"/>
      <c r="S87" s="31"/>
      <c r="T87" s="31"/>
      <c r="U87" s="31"/>
      <c r="V87" s="31"/>
      <c r="W87" s="31"/>
      <c r="X87" s="40"/>
      <c r="Y87" s="40"/>
      <c r="Z87" s="40"/>
      <c r="AA87" s="40"/>
      <c r="AB87" s="40"/>
      <c r="AC87" s="40"/>
      <c r="AD87" s="40"/>
    </row>
    <row r="88" spans="1:30" s="39" customFormat="1" ht="13" customHeight="1">
      <c r="A88" s="31"/>
      <c r="B88" s="31"/>
      <c r="C88" s="99"/>
      <c r="D88" s="99"/>
      <c r="E88" s="99"/>
      <c r="F88" s="99"/>
      <c r="G88" s="99"/>
      <c r="H88" s="99"/>
      <c r="I88" s="31"/>
      <c r="J88" s="99"/>
      <c r="K88" s="31"/>
      <c r="L88" s="31"/>
      <c r="M88" s="31"/>
      <c r="N88" s="31"/>
      <c r="O88" s="31"/>
      <c r="P88" s="31"/>
      <c r="Q88" s="99"/>
      <c r="R88" s="31"/>
      <c r="S88" s="31"/>
      <c r="T88" s="31"/>
      <c r="U88" s="31"/>
      <c r="V88" s="31"/>
      <c r="W88" s="31"/>
      <c r="X88" s="40"/>
      <c r="Y88" s="40"/>
      <c r="Z88" s="40"/>
      <c r="AA88" s="40"/>
      <c r="AB88" s="40"/>
      <c r="AC88" s="40"/>
      <c r="AD88" s="40"/>
    </row>
    <row r="89" spans="1:30" s="39" customFormat="1" ht="13" customHeight="1">
      <c r="A89" s="31"/>
      <c r="B89" s="31"/>
      <c r="C89" s="99"/>
      <c r="D89" s="99"/>
      <c r="E89" s="99"/>
      <c r="F89" s="99"/>
      <c r="G89" s="99"/>
      <c r="H89" s="99"/>
      <c r="I89" s="31"/>
      <c r="J89" s="99"/>
      <c r="K89" s="31"/>
      <c r="L89" s="31"/>
      <c r="M89" s="31"/>
      <c r="N89" s="31"/>
      <c r="O89" s="31"/>
      <c r="P89" s="31"/>
      <c r="Q89" s="99"/>
      <c r="R89" s="31"/>
      <c r="S89" s="31"/>
      <c r="T89" s="31"/>
      <c r="U89" s="31"/>
      <c r="V89" s="31"/>
      <c r="W89" s="31"/>
      <c r="X89" s="40"/>
      <c r="Y89" s="40"/>
      <c r="Z89" s="40"/>
      <c r="AA89" s="40"/>
      <c r="AB89" s="40"/>
      <c r="AC89" s="40"/>
      <c r="AD89" s="40"/>
    </row>
    <row r="90" spans="1:30" s="39" customFormat="1" ht="13" customHeight="1">
      <c r="A90" s="31"/>
      <c r="B90" s="31"/>
      <c r="C90" s="99"/>
      <c r="D90" s="99"/>
      <c r="E90" s="99"/>
      <c r="F90" s="99"/>
      <c r="G90" s="99"/>
      <c r="H90" s="99"/>
      <c r="I90" s="31"/>
      <c r="J90" s="99"/>
      <c r="K90" s="31"/>
      <c r="L90" s="31"/>
      <c r="M90" s="31"/>
      <c r="N90" s="31"/>
      <c r="O90" s="31"/>
      <c r="P90" s="31"/>
      <c r="Q90" s="99"/>
      <c r="R90" s="31"/>
      <c r="S90" s="31"/>
      <c r="T90" s="31"/>
      <c r="U90" s="31"/>
      <c r="V90" s="31"/>
      <c r="W90" s="31"/>
      <c r="X90" s="40"/>
      <c r="Y90" s="40"/>
      <c r="Z90" s="40"/>
      <c r="AA90" s="40"/>
      <c r="AB90" s="40"/>
      <c r="AC90" s="40"/>
      <c r="AD90" s="40"/>
    </row>
    <row r="91" spans="1:30" s="39" customFormat="1" ht="13" customHeight="1">
      <c r="A91" s="31"/>
      <c r="B91" s="31"/>
      <c r="C91" s="99"/>
      <c r="D91" s="99"/>
      <c r="E91" s="99"/>
      <c r="F91" s="99"/>
      <c r="G91" s="99"/>
      <c r="H91" s="99"/>
      <c r="I91" s="31"/>
      <c r="J91" s="99"/>
      <c r="K91" s="31"/>
      <c r="L91" s="31"/>
      <c r="M91" s="31"/>
      <c r="N91" s="31"/>
      <c r="O91" s="31"/>
      <c r="P91" s="31"/>
      <c r="Q91" s="99"/>
      <c r="R91" s="31"/>
      <c r="S91" s="31"/>
      <c r="T91" s="31"/>
      <c r="U91" s="31"/>
      <c r="V91" s="31"/>
      <c r="W91" s="31"/>
      <c r="X91" s="40"/>
      <c r="Y91" s="40"/>
      <c r="Z91" s="40"/>
      <c r="AA91" s="40"/>
      <c r="AB91" s="40"/>
      <c r="AC91" s="40"/>
      <c r="AD91" s="40"/>
    </row>
    <row r="92" spans="1:30" s="39" customFormat="1" ht="13" customHeight="1">
      <c r="A92" s="31"/>
      <c r="B92" s="31"/>
      <c r="C92" s="99"/>
      <c r="D92" s="99"/>
      <c r="E92" s="99"/>
      <c r="F92" s="99"/>
      <c r="G92" s="99"/>
      <c r="H92" s="99"/>
      <c r="I92" s="31"/>
      <c r="J92" s="99"/>
      <c r="K92" s="31"/>
      <c r="L92" s="31"/>
      <c r="M92" s="31"/>
      <c r="N92" s="31"/>
      <c r="O92" s="31"/>
      <c r="P92" s="31"/>
      <c r="Q92" s="99"/>
      <c r="R92" s="31"/>
      <c r="S92" s="31"/>
      <c r="T92" s="31"/>
      <c r="U92" s="31"/>
      <c r="V92" s="31"/>
      <c r="W92" s="31"/>
      <c r="X92" s="40"/>
      <c r="Y92" s="40"/>
      <c r="Z92" s="40"/>
      <c r="AA92" s="40"/>
      <c r="AB92" s="40"/>
      <c r="AC92" s="40"/>
      <c r="AD92" s="40"/>
    </row>
    <row r="93" spans="1:30" s="39" customFormat="1" ht="13" customHeight="1">
      <c r="A93" s="31"/>
      <c r="B93" s="31"/>
      <c r="C93" s="99"/>
      <c r="D93" s="99"/>
      <c r="E93" s="99"/>
      <c r="F93" s="99"/>
      <c r="G93" s="99"/>
      <c r="H93" s="99"/>
      <c r="I93" s="31"/>
      <c r="J93" s="99"/>
      <c r="K93" s="31"/>
      <c r="L93" s="31"/>
      <c r="M93" s="31"/>
      <c r="N93" s="31"/>
      <c r="O93" s="31"/>
      <c r="P93" s="31"/>
      <c r="Q93" s="99"/>
      <c r="R93" s="31"/>
      <c r="S93" s="31"/>
      <c r="T93" s="31"/>
      <c r="U93" s="31"/>
      <c r="V93" s="31"/>
      <c r="W93" s="31"/>
      <c r="X93" s="40"/>
      <c r="Y93" s="40"/>
      <c r="Z93" s="40"/>
      <c r="AA93" s="40"/>
      <c r="AB93" s="40"/>
      <c r="AC93" s="40"/>
      <c r="AD93" s="40"/>
    </row>
    <row r="94" spans="1:30" s="39" customFormat="1" ht="13" customHeight="1">
      <c r="A94" s="31"/>
      <c r="B94" s="31"/>
      <c r="C94" s="99"/>
      <c r="D94" s="99"/>
      <c r="E94" s="99"/>
      <c r="F94" s="99"/>
      <c r="G94" s="99"/>
      <c r="H94" s="99"/>
      <c r="I94" s="31"/>
      <c r="J94" s="99"/>
      <c r="K94" s="31"/>
      <c r="L94" s="31"/>
      <c r="M94" s="31"/>
      <c r="N94" s="31"/>
      <c r="O94" s="31"/>
      <c r="P94" s="31"/>
      <c r="Q94" s="99"/>
      <c r="R94" s="31"/>
      <c r="S94" s="31"/>
      <c r="T94" s="31"/>
      <c r="U94" s="31"/>
      <c r="V94" s="31"/>
      <c r="W94" s="31"/>
      <c r="X94" s="40"/>
      <c r="Y94" s="40"/>
      <c r="Z94" s="40"/>
      <c r="AA94" s="40"/>
      <c r="AB94" s="40"/>
      <c r="AC94" s="40"/>
      <c r="AD94" s="40"/>
    </row>
    <row r="95" spans="1:30" s="39" customFormat="1" ht="13" customHeight="1">
      <c r="A95" s="31"/>
      <c r="B95" s="31"/>
      <c r="C95" s="99"/>
      <c r="D95" s="99"/>
      <c r="E95" s="99"/>
      <c r="F95" s="99"/>
      <c r="G95" s="99"/>
      <c r="H95" s="99"/>
      <c r="I95" s="31"/>
      <c r="J95" s="99"/>
      <c r="K95" s="31"/>
      <c r="L95" s="31"/>
      <c r="M95" s="31"/>
      <c r="N95" s="31"/>
      <c r="O95" s="31"/>
      <c r="P95" s="31"/>
      <c r="Q95" s="99"/>
      <c r="R95" s="31"/>
      <c r="S95" s="31"/>
      <c r="T95" s="31"/>
      <c r="U95" s="31"/>
      <c r="V95" s="31"/>
      <c r="W95" s="31"/>
      <c r="X95" s="40"/>
      <c r="Y95" s="40"/>
      <c r="Z95" s="40"/>
      <c r="AA95" s="40"/>
      <c r="AB95" s="40"/>
      <c r="AC95" s="40"/>
      <c r="AD95" s="40"/>
    </row>
    <row r="96" spans="1:30" s="39" customFormat="1" ht="13" customHeight="1">
      <c r="A96" s="31"/>
      <c r="B96" s="31"/>
      <c r="C96" s="99"/>
      <c r="D96" s="99"/>
      <c r="E96" s="99"/>
      <c r="F96" s="99"/>
      <c r="G96" s="99"/>
      <c r="H96" s="99"/>
      <c r="I96" s="31"/>
      <c r="J96" s="99"/>
      <c r="K96" s="31"/>
      <c r="L96" s="31"/>
      <c r="M96" s="31"/>
      <c r="N96" s="31"/>
      <c r="O96" s="31"/>
      <c r="P96" s="31"/>
      <c r="Q96" s="99"/>
      <c r="R96" s="31"/>
      <c r="S96" s="31"/>
      <c r="T96" s="31"/>
      <c r="U96" s="31"/>
      <c r="V96" s="31"/>
      <c r="W96" s="31"/>
      <c r="X96" s="40"/>
      <c r="Y96" s="40"/>
      <c r="Z96" s="40"/>
      <c r="AA96" s="40"/>
      <c r="AB96" s="40"/>
      <c r="AC96" s="40"/>
      <c r="AD96" s="40"/>
    </row>
    <row r="97" spans="1:30" s="39" customFormat="1" ht="13" customHeight="1">
      <c r="A97" s="31"/>
      <c r="B97" s="31"/>
      <c r="C97" s="99"/>
      <c r="D97" s="99"/>
      <c r="E97" s="99"/>
      <c r="F97" s="99"/>
      <c r="G97" s="99"/>
      <c r="H97" s="99"/>
      <c r="I97" s="31"/>
      <c r="J97" s="99"/>
      <c r="K97" s="31"/>
      <c r="L97" s="31"/>
      <c r="M97" s="31"/>
      <c r="N97" s="31"/>
      <c r="O97" s="31"/>
      <c r="P97" s="31"/>
      <c r="Q97" s="99"/>
      <c r="R97" s="31"/>
      <c r="S97" s="31"/>
      <c r="T97" s="31"/>
      <c r="U97" s="31"/>
      <c r="V97" s="31"/>
      <c r="W97" s="31"/>
      <c r="X97" s="40"/>
      <c r="Y97" s="40"/>
      <c r="Z97" s="40"/>
      <c r="AA97" s="40"/>
      <c r="AB97" s="40"/>
      <c r="AC97" s="40"/>
      <c r="AD97" s="40"/>
    </row>
    <row r="98" spans="1:30" s="39" customFormat="1" ht="13" customHeight="1">
      <c r="A98" s="31"/>
      <c r="B98" s="31"/>
      <c r="C98" s="99"/>
      <c r="D98" s="99"/>
      <c r="E98" s="99"/>
      <c r="F98" s="99"/>
      <c r="G98" s="99"/>
      <c r="H98" s="99"/>
      <c r="I98" s="31"/>
      <c r="J98" s="99"/>
      <c r="K98" s="31"/>
      <c r="L98" s="31"/>
      <c r="M98" s="31"/>
      <c r="N98" s="31"/>
      <c r="O98" s="31"/>
      <c r="P98" s="31"/>
      <c r="Q98" s="99"/>
      <c r="R98" s="31"/>
      <c r="S98" s="31"/>
      <c r="T98" s="31"/>
      <c r="U98" s="31"/>
      <c r="V98" s="31"/>
      <c r="W98" s="31"/>
      <c r="X98" s="40"/>
      <c r="Y98" s="40"/>
      <c r="Z98" s="40"/>
      <c r="AA98" s="40"/>
      <c r="AB98" s="40"/>
      <c r="AC98" s="40"/>
      <c r="AD98" s="40"/>
    </row>
    <row r="99" spans="1:30" s="39" customFormat="1" ht="13" customHeight="1">
      <c r="A99" s="31"/>
      <c r="B99" s="31"/>
      <c r="C99" s="99"/>
      <c r="D99" s="99"/>
      <c r="E99" s="99"/>
      <c r="F99" s="99"/>
      <c r="G99" s="99"/>
      <c r="H99" s="99"/>
      <c r="I99" s="31"/>
      <c r="J99" s="99"/>
      <c r="K99" s="31"/>
      <c r="L99" s="31"/>
      <c r="M99" s="31"/>
      <c r="N99" s="31"/>
      <c r="O99" s="31"/>
      <c r="P99" s="31"/>
      <c r="Q99" s="99"/>
      <c r="R99" s="31"/>
      <c r="S99" s="31"/>
      <c r="T99" s="31"/>
      <c r="U99" s="31"/>
      <c r="V99" s="31"/>
      <c r="W99" s="31"/>
      <c r="X99" s="40"/>
      <c r="Y99" s="40"/>
      <c r="Z99" s="40"/>
      <c r="AA99" s="40"/>
      <c r="AB99" s="40"/>
      <c r="AC99" s="40"/>
      <c r="AD99" s="40"/>
    </row>
    <row r="100" spans="1:30" s="39" customFormat="1" ht="13" customHeight="1">
      <c r="A100" s="31"/>
      <c r="B100" s="31"/>
      <c r="C100" s="99"/>
      <c r="D100" s="99"/>
      <c r="E100" s="99"/>
      <c r="F100" s="99"/>
      <c r="G100" s="99"/>
      <c r="H100" s="99"/>
      <c r="I100" s="31"/>
      <c r="J100" s="99"/>
      <c r="K100" s="31"/>
      <c r="L100" s="31"/>
      <c r="M100" s="31"/>
      <c r="N100" s="31"/>
      <c r="O100" s="31"/>
      <c r="P100" s="31"/>
      <c r="Q100" s="99"/>
      <c r="R100" s="31"/>
      <c r="S100" s="31"/>
      <c r="T100" s="31"/>
      <c r="U100" s="31"/>
      <c r="V100" s="31"/>
      <c r="W100" s="31"/>
      <c r="X100" s="40"/>
      <c r="Y100" s="40"/>
      <c r="Z100" s="40"/>
      <c r="AA100" s="40"/>
      <c r="AB100" s="40"/>
      <c r="AC100" s="40"/>
      <c r="AD100" s="40"/>
    </row>
    <row r="101" spans="1:30" s="39" customFormat="1" ht="13" customHeight="1">
      <c r="A101" s="31"/>
      <c r="B101" s="31"/>
      <c r="C101" s="99"/>
      <c r="D101" s="99"/>
      <c r="E101" s="99"/>
      <c r="F101" s="99"/>
      <c r="G101" s="99"/>
      <c r="H101" s="99"/>
      <c r="I101" s="31"/>
      <c r="J101" s="99"/>
      <c r="K101" s="31"/>
      <c r="L101" s="31"/>
      <c r="M101" s="31"/>
      <c r="N101" s="31"/>
      <c r="O101" s="31"/>
      <c r="P101" s="31"/>
      <c r="Q101" s="99"/>
      <c r="R101" s="31"/>
      <c r="S101" s="31"/>
      <c r="T101" s="31"/>
      <c r="U101" s="31"/>
      <c r="V101" s="31"/>
      <c r="W101" s="31"/>
      <c r="X101" s="40"/>
      <c r="Y101" s="40"/>
      <c r="Z101" s="40"/>
      <c r="AA101" s="40"/>
      <c r="AB101" s="40"/>
      <c r="AC101" s="40"/>
      <c r="AD101" s="40"/>
    </row>
    <row r="102" spans="1:30" s="39" customFormat="1" ht="13" customHeight="1">
      <c r="A102" s="31"/>
      <c r="B102" s="31"/>
      <c r="C102" s="99"/>
      <c r="D102" s="99"/>
      <c r="E102" s="99"/>
      <c r="F102" s="99"/>
      <c r="G102" s="99"/>
      <c r="H102" s="99"/>
      <c r="I102" s="31"/>
      <c r="J102" s="99"/>
      <c r="K102" s="31"/>
      <c r="L102" s="31"/>
      <c r="M102" s="31"/>
      <c r="N102" s="31"/>
      <c r="O102" s="31"/>
      <c r="P102" s="31"/>
      <c r="Q102" s="99"/>
      <c r="R102" s="31"/>
      <c r="S102" s="31"/>
      <c r="T102" s="31"/>
      <c r="U102" s="31"/>
      <c r="V102" s="31"/>
      <c r="W102" s="31"/>
      <c r="X102" s="40"/>
      <c r="Y102" s="40"/>
      <c r="Z102" s="40"/>
      <c r="AA102" s="40"/>
      <c r="AB102" s="40"/>
      <c r="AC102" s="40"/>
      <c r="AD102" s="40"/>
    </row>
    <row r="103" spans="1:30" s="39" customFormat="1" ht="13" customHeight="1">
      <c r="A103" s="31"/>
      <c r="B103" s="31"/>
      <c r="C103" s="99"/>
      <c r="D103" s="99"/>
      <c r="E103" s="99"/>
      <c r="F103" s="99"/>
      <c r="G103" s="99"/>
      <c r="H103" s="99"/>
      <c r="I103" s="31"/>
      <c r="J103" s="99"/>
      <c r="K103" s="31"/>
      <c r="L103" s="31"/>
      <c r="M103" s="31"/>
      <c r="N103" s="31"/>
      <c r="O103" s="31"/>
      <c r="P103" s="31"/>
      <c r="Q103" s="99"/>
      <c r="R103" s="31"/>
      <c r="S103" s="31"/>
      <c r="T103" s="31"/>
      <c r="U103" s="31"/>
      <c r="V103" s="31"/>
      <c r="W103" s="31"/>
      <c r="X103" s="40"/>
      <c r="Y103" s="40"/>
      <c r="Z103" s="40"/>
      <c r="AA103" s="40"/>
      <c r="AB103" s="40"/>
      <c r="AC103" s="40"/>
      <c r="AD103" s="40"/>
    </row>
    <row r="104" spans="1:30" s="39" customFormat="1" ht="13" customHeight="1">
      <c r="A104" s="31"/>
      <c r="B104" s="31"/>
      <c r="C104" s="99"/>
      <c r="D104" s="99"/>
      <c r="E104" s="99"/>
      <c r="F104" s="99"/>
      <c r="G104" s="99"/>
      <c r="H104" s="99"/>
      <c r="I104" s="31"/>
      <c r="J104" s="99"/>
      <c r="K104" s="31"/>
      <c r="L104" s="31"/>
      <c r="M104" s="31"/>
      <c r="N104" s="31"/>
      <c r="O104" s="31"/>
      <c r="P104" s="31"/>
      <c r="Q104" s="99"/>
      <c r="R104" s="31"/>
      <c r="S104" s="31"/>
      <c r="T104" s="31"/>
      <c r="U104" s="31"/>
      <c r="V104" s="31"/>
      <c r="W104" s="31"/>
      <c r="X104" s="40"/>
      <c r="Y104" s="40"/>
      <c r="Z104" s="40"/>
      <c r="AA104" s="40"/>
      <c r="AB104" s="40"/>
      <c r="AC104" s="40"/>
      <c r="AD104" s="40"/>
    </row>
    <row r="105" spans="1:30" s="39" customFormat="1" ht="13" customHeight="1">
      <c r="A105" s="31"/>
      <c r="B105" s="31"/>
      <c r="C105" s="99"/>
      <c r="D105" s="99"/>
      <c r="E105" s="99"/>
      <c r="F105" s="99"/>
      <c r="G105" s="99"/>
      <c r="H105" s="99"/>
      <c r="I105" s="31"/>
      <c r="J105" s="99"/>
      <c r="K105" s="31"/>
      <c r="L105" s="31"/>
      <c r="M105" s="31"/>
      <c r="N105" s="31"/>
      <c r="O105" s="31"/>
      <c r="P105" s="31"/>
      <c r="Q105" s="99"/>
      <c r="R105" s="31"/>
      <c r="S105" s="31"/>
      <c r="T105" s="31"/>
      <c r="U105" s="31"/>
      <c r="V105" s="31"/>
      <c r="W105" s="31"/>
      <c r="X105" s="40"/>
      <c r="Y105" s="40"/>
      <c r="Z105" s="40"/>
      <c r="AA105" s="40"/>
      <c r="AB105" s="40"/>
      <c r="AC105" s="40"/>
      <c r="AD105" s="40"/>
    </row>
    <row r="106" spans="1:30" s="39" customFormat="1" ht="13" customHeight="1">
      <c r="A106" s="31"/>
      <c r="B106" s="31"/>
      <c r="C106" s="99"/>
      <c r="D106" s="99"/>
      <c r="E106" s="99"/>
      <c r="F106" s="99"/>
      <c r="G106" s="99"/>
      <c r="H106" s="99"/>
      <c r="I106" s="31"/>
      <c r="J106" s="99"/>
      <c r="K106" s="31"/>
      <c r="L106" s="31"/>
      <c r="M106" s="31"/>
      <c r="N106" s="31"/>
      <c r="O106" s="31"/>
      <c r="P106" s="31"/>
      <c r="Q106" s="99"/>
      <c r="R106" s="31"/>
      <c r="S106" s="31"/>
      <c r="T106" s="31"/>
      <c r="U106" s="31"/>
      <c r="V106" s="31"/>
      <c r="W106" s="31"/>
      <c r="X106" s="40"/>
      <c r="Y106" s="40"/>
      <c r="Z106" s="40"/>
      <c r="AA106" s="40"/>
      <c r="AB106" s="40"/>
      <c r="AC106" s="40"/>
      <c r="AD106" s="40"/>
    </row>
    <row r="107" spans="1:30" s="39" customFormat="1" ht="13" customHeight="1">
      <c r="A107" s="31"/>
      <c r="B107" s="31"/>
      <c r="C107" s="99"/>
      <c r="D107" s="99"/>
      <c r="E107" s="99"/>
      <c r="F107" s="99"/>
      <c r="G107" s="99"/>
      <c r="H107" s="99"/>
      <c r="I107" s="31"/>
      <c r="J107" s="99"/>
      <c r="K107" s="31"/>
      <c r="L107" s="31"/>
      <c r="M107" s="31"/>
      <c r="N107" s="31"/>
      <c r="O107" s="31"/>
      <c r="P107" s="31"/>
      <c r="Q107" s="99"/>
      <c r="R107" s="31"/>
      <c r="S107" s="31"/>
      <c r="T107" s="31"/>
      <c r="U107" s="31"/>
      <c r="V107" s="31"/>
      <c r="W107" s="31"/>
      <c r="X107" s="40"/>
      <c r="Y107" s="40"/>
      <c r="Z107" s="40"/>
      <c r="AA107" s="40"/>
      <c r="AB107" s="40"/>
      <c r="AC107" s="40"/>
      <c r="AD107" s="40"/>
    </row>
    <row r="108" spans="1:30" s="39" customFormat="1" ht="13" customHeight="1">
      <c r="A108" s="31"/>
      <c r="B108" s="31"/>
      <c r="C108" s="99"/>
      <c r="D108" s="99"/>
      <c r="E108" s="99"/>
      <c r="F108" s="99"/>
      <c r="G108" s="99"/>
      <c r="H108" s="99"/>
      <c r="I108" s="31"/>
      <c r="J108" s="99"/>
      <c r="K108" s="31"/>
      <c r="L108" s="31"/>
      <c r="M108" s="31"/>
      <c r="N108" s="31"/>
      <c r="O108" s="31"/>
      <c r="P108" s="31"/>
      <c r="Q108" s="99"/>
      <c r="R108" s="31"/>
      <c r="S108" s="31"/>
      <c r="T108" s="31"/>
      <c r="U108" s="31"/>
      <c r="V108" s="31"/>
      <c r="W108" s="31"/>
      <c r="X108" s="40"/>
      <c r="Y108" s="40"/>
      <c r="Z108" s="40"/>
      <c r="AA108" s="40"/>
      <c r="AB108" s="40"/>
      <c r="AC108" s="40"/>
      <c r="AD108" s="40"/>
    </row>
    <row r="109" spans="1:30" s="39" customFormat="1" ht="13" customHeight="1">
      <c r="A109" s="16"/>
      <c r="B109" s="16"/>
      <c r="C109" s="96"/>
      <c r="D109" s="96"/>
      <c r="E109" s="96"/>
      <c r="F109" s="99"/>
      <c r="G109" s="99"/>
      <c r="H109" s="99"/>
      <c r="I109" s="31"/>
      <c r="J109" s="99"/>
      <c r="K109" s="31"/>
      <c r="L109" s="31"/>
      <c r="M109" s="31"/>
      <c r="N109" s="31"/>
      <c r="O109" s="31"/>
      <c r="P109" s="31"/>
      <c r="Q109" s="99"/>
      <c r="R109" s="16"/>
      <c r="S109" s="16"/>
      <c r="T109" s="16"/>
      <c r="U109" s="16"/>
      <c r="V109" s="16"/>
      <c r="W109" s="16"/>
    </row>
    <row r="110" spans="1:30" s="39" customFormat="1" ht="13" customHeight="1">
      <c r="A110" s="16"/>
      <c r="B110" s="16"/>
      <c r="C110" s="96"/>
      <c r="D110" s="96"/>
      <c r="E110" s="96"/>
      <c r="F110" s="99"/>
      <c r="G110" s="99"/>
      <c r="H110" s="99"/>
      <c r="I110" s="31"/>
      <c r="J110" s="99"/>
      <c r="K110" s="31"/>
      <c r="L110" s="31"/>
      <c r="M110" s="31"/>
      <c r="N110" s="31"/>
      <c r="O110" s="31"/>
      <c r="P110" s="31"/>
      <c r="Q110" s="99"/>
      <c r="R110" s="16"/>
      <c r="S110" s="16"/>
      <c r="T110" s="16"/>
      <c r="U110" s="16"/>
      <c r="V110" s="16"/>
      <c r="W110" s="16"/>
    </row>
    <row r="111" spans="1:30" s="39" customFormat="1" ht="13" customHeight="1">
      <c r="A111" s="16"/>
      <c r="B111" s="16"/>
      <c r="C111" s="96"/>
      <c r="D111" s="96"/>
      <c r="E111" s="96"/>
      <c r="F111" s="99"/>
      <c r="G111" s="99"/>
      <c r="H111" s="99"/>
      <c r="I111" s="31"/>
      <c r="J111" s="99"/>
      <c r="K111" s="31"/>
      <c r="L111" s="31"/>
      <c r="M111" s="31"/>
      <c r="N111" s="31"/>
      <c r="O111" s="31"/>
      <c r="P111" s="31"/>
      <c r="Q111" s="99"/>
      <c r="R111" s="16"/>
      <c r="S111" s="16"/>
      <c r="T111" s="16"/>
      <c r="U111" s="16"/>
      <c r="V111" s="16"/>
      <c r="W111" s="16"/>
    </row>
    <row r="112" spans="1:30" s="39" customFormat="1" ht="13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s="39" customFormat="1" ht="13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s="39" customFormat="1" ht="13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3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ht="13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ht="13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ht="13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</sheetData>
  <sheetProtection password="C6F9" sheet="1" objects="1" scenarios="1" selectLockedCells="1"/>
  <pageMargins left="0.7" right="0.7" top="0.75" bottom="0.75" header="0.3" footer="0.3"/>
  <pageSetup orientation="portrait" verticalDpi="598" r:id="rId1"/>
  <ignoredErrors>
    <ignoredError sqref="B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1"/>
  <sheetViews>
    <sheetView zoomScale="80" zoomScaleNormal="80" workbookViewId="0">
      <selection activeCell="C32" sqref="C32"/>
    </sheetView>
  </sheetViews>
  <sheetFormatPr defaultRowHeight="14.5"/>
  <cols>
    <col min="2" max="2" width="12" bestFit="1" customWidth="1"/>
    <col min="3" max="3" width="16.7265625" bestFit="1" customWidth="1"/>
    <col min="4" max="4" width="11.453125" customWidth="1"/>
    <col min="5" max="5" width="18.26953125" customWidth="1"/>
    <col min="6" max="6" width="11.453125" customWidth="1"/>
    <col min="7" max="7" width="10.1796875" customWidth="1"/>
    <col min="8" max="8" width="12.7265625" customWidth="1"/>
    <col min="9" max="9" width="11.54296875" customWidth="1"/>
    <col min="10" max="10" width="12" bestFit="1" customWidth="1"/>
    <col min="11" max="11" width="14" customWidth="1"/>
    <col min="12" max="12" width="11.54296875" customWidth="1"/>
    <col min="13" max="13" width="11.453125" customWidth="1"/>
    <col min="14" max="14" width="12.54296875" customWidth="1"/>
    <col min="15" max="15" width="11.26953125" customWidth="1"/>
    <col min="16" max="16" width="34.54296875" customWidth="1"/>
    <col min="17" max="17" width="11" bestFit="1" customWidth="1"/>
    <col min="18" max="18" width="9.26953125" bestFit="1" customWidth="1"/>
    <col min="19" max="19" width="14.26953125" customWidth="1"/>
    <col min="22" max="22" width="39.453125" customWidth="1"/>
    <col min="24" max="24" width="22.26953125" customWidth="1"/>
    <col min="25" max="26" width="9.26953125" bestFit="1" customWidth="1"/>
    <col min="28" max="28" width="21.26953125" customWidth="1"/>
    <col min="29" max="30" width="9.26953125" bestFit="1" customWidth="1"/>
    <col min="32" max="32" width="20.26953125" customWidth="1"/>
    <col min="33" max="34" width="9.26953125" bestFit="1" customWidth="1"/>
    <col min="36" max="36" width="34.453125" customWidth="1"/>
    <col min="37" max="37" width="26.54296875" customWidth="1"/>
    <col min="38" max="38" width="16.453125" customWidth="1"/>
    <col min="39" max="40" width="20.1796875" customWidth="1"/>
    <col min="41" max="41" width="37.1796875" customWidth="1"/>
    <col min="42" max="42" width="27" customWidth="1"/>
    <col min="43" max="43" width="12.1796875" customWidth="1"/>
    <col min="44" max="44" width="13.7265625" bestFit="1" customWidth="1"/>
    <col min="47" max="47" width="34.81640625" customWidth="1"/>
    <col min="50" max="51" width="9.26953125" bestFit="1" customWidth="1"/>
    <col min="52" max="52" width="9.453125" customWidth="1"/>
    <col min="53" max="54" width="9.26953125" bestFit="1" customWidth="1"/>
    <col min="57" max="58" width="9.26953125" bestFit="1" customWidth="1"/>
    <col min="60" max="61" width="9.26953125" bestFit="1" customWidth="1"/>
    <col min="261" max="261" width="12" bestFit="1" customWidth="1"/>
    <col min="262" max="262" width="16.7265625" bestFit="1" customWidth="1"/>
    <col min="263" max="263" width="11.453125" customWidth="1"/>
    <col min="264" max="264" width="16.7265625" customWidth="1"/>
    <col min="265" max="265" width="11.453125" customWidth="1"/>
    <col min="266" max="266" width="10.1796875" customWidth="1"/>
    <col min="267" max="267" width="12.7265625" customWidth="1"/>
    <col min="268" max="268" width="11.54296875" customWidth="1"/>
    <col min="269" max="269" width="12" bestFit="1" customWidth="1"/>
    <col min="270" max="270" width="14" customWidth="1"/>
    <col min="271" max="271" width="11.54296875" customWidth="1"/>
    <col min="272" max="272" width="12.7265625" customWidth="1"/>
    <col min="273" max="273" width="12.54296875" customWidth="1"/>
    <col min="274" max="274" width="11.26953125" customWidth="1"/>
    <col min="275" max="275" width="34.54296875" customWidth="1"/>
    <col min="276" max="276" width="11" bestFit="1" customWidth="1"/>
    <col min="278" max="278" width="14.26953125" customWidth="1"/>
    <col min="281" max="281" width="39.453125" customWidth="1"/>
    <col min="283" max="283" width="22.26953125" customWidth="1"/>
    <col min="287" max="287" width="21.26953125" customWidth="1"/>
    <col min="291" max="291" width="20.26953125" customWidth="1"/>
    <col min="295" max="295" width="34.453125" customWidth="1"/>
    <col min="296" max="296" width="26.54296875" customWidth="1"/>
    <col min="297" max="297" width="16.453125" customWidth="1"/>
    <col min="298" max="299" width="20.1796875" customWidth="1"/>
    <col min="300" max="300" width="37.1796875" customWidth="1"/>
    <col min="301" max="301" width="27" customWidth="1"/>
    <col min="302" max="302" width="12.1796875" customWidth="1"/>
    <col min="303" max="303" width="12.453125" bestFit="1" customWidth="1"/>
    <col min="306" max="306" width="34.81640625" customWidth="1"/>
    <col min="311" max="311" width="9.453125" customWidth="1"/>
    <col min="517" max="517" width="12" bestFit="1" customWidth="1"/>
    <col min="518" max="518" width="16.7265625" bestFit="1" customWidth="1"/>
    <col min="519" max="519" width="11.453125" customWidth="1"/>
    <col min="520" max="520" width="16.7265625" customWidth="1"/>
    <col min="521" max="521" width="11.453125" customWidth="1"/>
    <col min="522" max="522" width="10.1796875" customWidth="1"/>
    <col min="523" max="523" width="12.7265625" customWidth="1"/>
    <col min="524" max="524" width="11.54296875" customWidth="1"/>
    <col min="525" max="525" width="12" bestFit="1" customWidth="1"/>
    <col min="526" max="526" width="14" customWidth="1"/>
    <col min="527" max="527" width="11.54296875" customWidth="1"/>
    <col min="528" max="528" width="12.7265625" customWidth="1"/>
    <col min="529" max="529" width="12.54296875" customWidth="1"/>
    <col min="530" max="530" width="11.26953125" customWidth="1"/>
    <col min="531" max="531" width="34.54296875" customWidth="1"/>
    <col min="532" max="532" width="11" bestFit="1" customWidth="1"/>
    <col min="534" max="534" width="14.26953125" customWidth="1"/>
    <col min="537" max="537" width="39.453125" customWidth="1"/>
    <col min="539" max="539" width="22.26953125" customWidth="1"/>
    <col min="543" max="543" width="21.26953125" customWidth="1"/>
    <col min="547" max="547" width="20.26953125" customWidth="1"/>
    <col min="551" max="551" width="34.453125" customWidth="1"/>
    <col min="552" max="552" width="26.54296875" customWidth="1"/>
    <col min="553" max="553" width="16.453125" customWidth="1"/>
    <col min="554" max="555" width="20.1796875" customWidth="1"/>
    <col min="556" max="556" width="37.1796875" customWidth="1"/>
    <col min="557" max="557" width="27" customWidth="1"/>
    <col min="558" max="558" width="12.1796875" customWidth="1"/>
    <col min="559" max="559" width="12.453125" bestFit="1" customWidth="1"/>
    <col min="562" max="562" width="34.81640625" customWidth="1"/>
    <col min="567" max="567" width="9.453125" customWidth="1"/>
    <col min="773" max="773" width="12" bestFit="1" customWidth="1"/>
    <col min="774" max="774" width="16.7265625" bestFit="1" customWidth="1"/>
    <col min="775" max="775" width="11.453125" customWidth="1"/>
    <col min="776" max="776" width="16.7265625" customWidth="1"/>
    <col min="777" max="777" width="11.453125" customWidth="1"/>
    <col min="778" max="778" width="10.1796875" customWidth="1"/>
    <col min="779" max="779" width="12.7265625" customWidth="1"/>
    <col min="780" max="780" width="11.54296875" customWidth="1"/>
    <col min="781" max="781" width="12" bestFit="1" customWidth="1"/>
    <col min="782" max="782" width="14" customWidth="1"/>
    <col min="783" max="783" width="11.54296875" customWidth="1"/>
    <col min="784" max="784" width="12.7265625" customWidth="1"/>
    <col min="785" max="785" width="12.54296875" customWidth="1"/>
    <col min="786" max="786" width="11.26953125" customWidth="1"/>
    <col min="787" max="787" width="34.54296875" customWidth="1"/>
    <col min="788" max="788" width="11" bestFit="1" customWidth="1"/>
    <col min="790" max="790" width="14.26953125" customWidth="1"/>
    <col min="793" max="793" width="39.453125" customWidth="1"/>
    <col min="795" max="795" width="22.26953125" customWidth="1"/>
    <col min="799" max="799" width="21.26953125" customWidth="1"/>
    <col min="803" max="803" width="20.26953125" customWidth="1"/>
    <col min="807" max="807" width="34.453125" customWidth="1"/>
    <col min="808" max="808" width="26.54296875" customWidth="1"/>
    <col min="809" max="809" width="16.453125" customWidth="1"/>
    <col min="810" max="811" width="20.1796875" customWidth="1"/>
    <col min="812" max="812" width="37.1796875" customWidth="1"/>
    <col min="813" max="813" width="27" customWidth="1"/>
    <col min="814" max="814" width="12.1796875" customWidth="1"/>
    <col min="815" max="815" width="12.453125" bestFit="1" customWidth="1"/>
    <col min="818" max="818" width="34.81640625" customWidth="1"/>
    <col min="823" max="823" width="9.453125" customWidth="1"/>
    <col min="1029" max="1029" width="12" bestFit="1" customWidth="1"/>
    <col min="1030" max="1030" width="16.7265625" bestFit="1" customWidth="1"/>
    <col min="1031" max="1031" width="11.453125" customWidth="1"/>
    <col min="1032" max="1032" width="16.7265625" customWidth="1"/>
    <col min="1033" max="1033" width="11.453125" customWidth="1"/>
    <col min="1034" max="1034" width="10.1796875" customWidth="1"/>
    <col min="1035" max="1035" width="12.7265625" customWidth="1"/>
    <col min="1036" max="1036" width="11.54296875" customWidth="1"/>
    <col min="1037" max="1037" width="12" bestFit="1" customWidth="1"/>
    <col min="1038" max="1038" width="14" customWidth="1"/>
    <col min="1039" max="1039" width="11.54296875" customWidth="1"/>
    <col min="1040" max="1040" width="12.7265625" customWidth="1"/>
    <col min="1041" max="1041" width="12.54296875" customWidth="1"/>
    <col min="1042" max="1042" width="11.26953125" customWidth="1"/>
    <col min="1043" max="1043" width="34.54296875" customWidth="1"/>
    <col min="1044" max="1044" width="11" bestFit="1" customWidth="1"/>
    <col min="1046" max="1046" width="14.26953125" customWidth="1"/>
    <col min="1049" max="1049" width="39.453125" customWidth="1"/>
    <col min="1051" max="1051" width="22.26953125" customWidth="1"/>
    <col min="1055" max="1055" width="21.26953125" customWidth="1"/>
    <col min="1059" max="1059" width="20.26953125" customWidth="1"/>
    <col min="1063" max="1063" width="34.453125" customWidth="1"/>
    <col min="1064" max="1064" width="26.54296875" customWidth="1"/>
    <col min="1065" max="1065" width="16.453125" customWidth="1"/>
    <col min="1066" max="1067" width="20.1796875" customWidth="1"/>
    <col min="1068" max="1068" width="37.1796875" customWidth="1"/>
    <col min="1069" max="1069" width="27" customWidth="1"/>
    <col min="1070" max="1070" width="12.1796875" customWidth="1"/>
    <col min="1071" max="1071" width="12.453125" bestFit="1" customWidth="1"/>
    <col min="1074" max="1074" width="34.81640625" customWidth="1"/>
    <col min="1079" max="1079" width="9.453125" customWidth="1"/>
    <col min="1285" max="1285" width="12" bestFit="1" customWidth="1"/>
    <col min="1286" max="1286" width="16.7265625" bestFit="1" customWidth="1"/>
    <col min="1287" max="1287" width="11.453125" customWidth="1"/>
    <col min="1288" max="1288" width="16.7265625" customWidth="1"/>
    <col min="1289" max="1289" width="11.453125" customWidth="1"/>
    <col min="1290" max="1290" width="10.1796875" customWidth="1"/>
    <col min="1291" max="1291" width="12.7265625" customWidth="1"/>
    <col min="1292" max="1292" width="11.54296875" customWidth="1"/>
    <col min="1293" max="1293" width="12" bestFit="1" customWidth="1"/>
    <col min="1294" max="1294" width="14" customWidth="1"/>
    <col min="1295" max="1295" width="11.54296875" customWidth="1"/>
    <col min="1296" max="1296" width="12.7265625" customWidth="1"/>
    <col min="1297" max="1297" width="12.54296875" customWidth="1"/>
    <col min="1298" max="1298" width="11.26953125" customWidth="1"/>
    <col min="1299" max="1299" width="34.54296875" customWidth="1"/>
    <col min="1300" max="1300" width="11" bestFit="1" customWidth="1"/>
    <col min="1302" max="1302" width="14.26953125" customWidth="1"/>
    <col min="1305" max="1305" width="39.453125" customWidth="1"/>
    <col min="1307" max="1307" width="22.26953125" customWidth="1"/>
    <col min="1311" max="1311" width="21.26953125" customWidth="1"/>
    <col min="1315" max="1315" width="20.26953125" customWidth="1"/>
    <col min="1319" max="1319" width="34.453125" customWidth="1"/>
    <col min="1320" max="1320" width="26.54296875" customWidth="1"/>
    <col min="1321" max="1321" width="16.453125" customWidth="1"/>
    <col min="1322" max="1323" width="20.1796875" customWidth="1"/>
    <col min="1324" max="1324" width="37.1796875" customWidth="1"/>
    <col min="1325" max="1325" width="27" customWidth="1"/>
    <col min="1326" max="1326" width="12.1796875" customWidth="1"/>
    <col min="1327" max="1327" width="12.453125" bestFit="1" customWidth="1"/>
    <col min="1330" max="1330" width="34.81640625" customWidth="1"/>
    <col min="1335" max="1335" width="9.453125" customWidth="1"/>
    <col min="1541" max="1541" width="12" bestFit="1" customWidth="1"/>
    <col min="1542" max="1542" width="16.7265625" bestFit="1" customWidth="1"/>
    <col min="1543" max="1543" width="11.453125" customWidth="1"/>
    <col min="1544" max="1544" width="16.7265625" customWidth="1"/>
    <col min="1545" max="1545" width="11.453125" customWidth="1"/>
    <col min="1546" max="1546" width="10.1796875" customWidth="1"/>
    <col min="1547" max="1547" width="12.7265625" customWidth="1"/>
    <col min="1548" max="1548" width="11.54296875" customWidth="1"/>
    <col min="1549" max="1549" width="12" bestFit="1" customWidth="1"/>
    <col min="1550" max="1550" width="14" customWidth="1"/>
    <col min="1551" max="1551" width="11.54296875" customWidth="1"/>
    <col min="1552" max="1552" width="12.7265625" customWidth="1"/>
    <col min="1553" max="1553" width="12.54296875" customWidth="1"/>
    <col min="1554" max="1554" width="11.26953125" customWidth="1"/>
    <col min="1555" max="1555" width="34.54296875" customWidth="1"/>
    <col min="1556" max="1556" width="11" bestFit="1" customWidth="1"/>
    <col min="1558" max="1558" width="14.26953125" customWidth="1"/>
    <col min="1561" max="1561" width="39.453125" customWidth="1"/>
    <col min="1563" max="1563" width="22.26953125" customWidth="1"/>
    <col min="1567" max="1567" width="21.26953125" customWidth="1"/>
    <col min="1571" max="1571" width="20.26953125" customWidth="1"/>
    <col min="1575" max="1575" width="34.453125" customWidth="1"/>
    <col min="1576" max="1576" width="26.54296875" customWidth="1"/>
    <col min="1577" max="1577" width="16.453125" customWidth="1"/>
    <col min="1578" max="1579" width="20.1796875" customWidth="1"/>
    <col min="1580" max="1580" width="37.1796875" customWidth="1"/>
    <col min="1581" max="1581" width="27" customWidth="1"/>
    <col min="1582" max="1582" width="12.1796875" customWidth="1"/>
    <col min="1583" max="1583" width="12.453125" bestFit="1" customWidth="1"/>
    <col min="1586" max="1586" width="34.81640625" customWidth="1"/>
    <col min="1591" max="1591" width="9.453125" customWidth="1"/>
    <col min="1797" max="1797" width="12" bestFit="1" customWidth="1"/>
    <col min="1798" max="1798" width="16.7265625" bestFit="1" customWidth="1"/>
    <col min="1799" max="1799" width="11.453125" customWidth="1"/>
    <col min="1800" max="1800" width="16.7265625" customWidth="1"/>
    <col min="1801" max="1801" width="11.453125" customWidth="1"/>
    <col min="1802" max="1802" width="10.1796875" customWidth="1"/>
    <col min="1803" max="1803" width="12.7265625" customWidth="1"/>
    <col min="1804" max="1804" width="11.54296875" customWidth="1"/>
    <col min="1805" max="1805" width="12" bestFit="1" customWidth="1"/>
    <col min="1806" max="1806" width="14" customWidth="1"/>
    <col min="1807" max="1807" width="11.54296875" customWidth="1"/>
    <col min="1808" max="1808" width="12.7265625" customWidth="1"/>
    <col min="1809" max="1809" width="12.54296875" customWidth="1"/>
    <col min="1810" max="1810" width="11.26953125" customWidth="1"/>
    <col min="1811" max="1811" width="34.54296875" customWidth="1"/>
    <col min="1812" max="1812" width="11" bestFit="1" customWidth="1"/>
    <col min="1814" max="1814" width="14.26953125" customWidth="1"/>
    <col min="1817" max="1817" width="39.453125" customWidth="1"/>
    <col min="1819" max="1819" width="22.26953125" customWidth="1"/>
    <col min="1823" max="1823" width="21.26953125" customWidth="1"/>
    <col min="1827" max="1827" width="20.26953125" customWidth="1"/>
    <col min="1831" max="1831" width="34.453125" customWidth="1"/>
    <col min="1832" max="1832" width="26.54296875" customWidth="1"/>
    <col min="1833" max="1833" width="16.453125" customWidth="1"/>
    <col min="1834" max="1835" width="20.1796875" customWidth="1"/>
    <col min="1836" max="1836" width="37.1796875" customWidth="1"/>
    <col min="1837" max="1837" width="27" customWidth="1"/>
    <col min="1838" max="1838" width="12.1796875" customWidth="1"/>
    <col min="1839" max="1839" width="12.453125" bestFit="1" customWidth="1"/>
    <col min="1842" max="1842" width="34.81640625" customWidth="1"/>
    <col min="1847" max="1847" width="9.453125" customWidth="1"/>
    <col min="2053" max="2053" width="12" bestFit="1" customWidth="1"/>
    <col min="2054" max="2054" width="16.7265625" bestFit="1" customWidth="1"/>
    <col min="2055" max="2055" width="11.453125" customWidth="1"/>
    <col min="2056" max="2056" width="16.7265625" customWidth="1"/>
    <col min="2057" max="2057" width="11.453125" customWidth="1"/>
    <col min="2058" max="2058" width="10.1796875" customWidth="1"/>
    <col min="2059" max="2059" width="12.7265625" customWidth="1"/>
    <col min="2060" max="2060" width="11.54296875" customWidth="1"/>
    <col min="2061" max="2061" width="12" bestFit="1" customWidth="1"/>
    <col min="2062" max="2062" width="14" customWidth="1"/>
    <col min="2063" max="2063" width="11.54296875" customWidth="1"/>
    <col min="2064" max="2064" width="12.7265625" customWidth="1"/>
    <col min="2065" max="2065" width="12.54296875" customWidth="1"/>
    <col min="2066" max="2066" width="11.26953125" customWidth="1"/>
    <col min="2067" max="2067" width="34.54296875" customWidth="1"/>
    <col min="2068" max="2068" width="11" bestFit="1" customWidth="1"/>
    <col min="2070" max="2070" width="14.26953125" customWidth="1"/>
    <col min="2073" max="2073" width="39.453125" customWidth="1"/>
    <col min="2075" max="2075" width="22.26953125" customWidth="1"/>
    <col min="2079" max="2079" width="21.26953125" customWidth="1"/>
    <col min="2083" max="2083" width="20.26953125" customWidth="1"/>
    <col min="2087" max="2087" width="34.453125" customWidth="1"/>
    <col min="2088" max="2088" width="26.54296875" customWidth="1"/>
    <col min="2089" max="2089" width="16.453125" customWidth="1"/>
    <col min="2090" max="2091" width="20.1796875" customWidth="1"/>
    <col min="2092" max="2092" width="37.1796875" customWidth="1"/>
    <col min="2093" max="2093" width="27" customWidth="1"/>
    <col min="2094" max="2094" width="12.1796875" customWidth="1"/>
    <col min="2095" max="2095" width="12.453125" bestFit="1" customWidth="1"/>
    <col min="2098" max="2098" width="34.81640625" customWidth="1"/>
    <col min="2103" max="2103" width="9.453125" customWidth="1"/>
    <col min="2309" max="2309" width="12" bestFit="1" customWidth="1"/>
    <col min="2310" max="2310" width="16.7265625" bestFit="1" customWidth="1"/>
    <col min="2311" max="2311" width="11.453125" customWidth="1"/>
    <col min="2312" max="2312" width="16.7265625" customWidth="1"/>
    <col min="2313" max="2313" width="11.453125" customWidth="1"/>
    <col min="2314" max="2314" width="10.1796875" customWidth="1"/>
    <col min="2315" max="2315" width="12.7265625" customWidth="1"/>
    <col min="2316" max="2316" width="11.54296875" customWidth="1"/>
    <col min="2317" max="2317" width="12" bestFit="1" customWidth="1"/>
    <col min="2318" max="2318" width="14" customWidth="1"/>
    <col min="2319" max="2319" width="11.54296875" customWidth="1"/>
    <col min="2320" max="2320" width="12.7265625" customWidth="1"/>
    <col min="2321" max="2321" width="12.54296875" customWidth="1"/>
    <col min="2322" max="2322" width="11.26953125" customWidth="1"/>
    <col min="2323" max="2323" width="34.54296875" customWidth="1"/>
    <col min="2324" max="2324" width="11" bestFit="1" customWidth="1"/>
    <col min="2326" max="2326" width="14.26953125" customWidth="1"/>
    <col min="2329" max="2329" width="39.453125" customWidth="1"/>
    <col min="2331" max="2331" width="22.26953125" customWidth="1"/>
    <col min="2335" max="2335" width="21.26953125" customWidth="1"/>
    <col min="2339" max="2339" width="20.26953125" customWidth="1"/>
    <col min="2343" max="2343" width="34.453125" customWidth="1"/>
    <col min="2344" max="2344" width="26.54296875" customWidth="1"/>
    <col min="2345" max="2345" width="16.453125" customWidth="1"/>
    <col min="2346" max="2347" width="20.1796875" customWidth="1"/>
    <col min="2348" max="2348" width="37.1796875" customWidth="1"/>
    <col min="2349" max="2349" width="27" customWidth="1"/>
    <col min="2350" max="2350" width="12.1796875" customWidth="1"/>
    <col min="2351" max="2351" width="12.453125" bestFit="1" customWidth="1"/>
    <col min="2354" max="2354" width="34.81640625" customWidth="1"/>
    <col min="2359" max="2359" width="9.453125" customWidth="1"/>
    <col min="2565" max="2565" width="12" bestFit="1" customWidth="1"/>
    <col min="2566" max="2566" width="16.7265625" bestFit="1" customWidth="1"/>
    <col min="2567" max="2567" width="11.453125" customWidth="1"/>
    <col min="2568" max="2568" width="16.7265625" customWidth="1"/>
    <col min="2569" max="2569" width="11.453125" customWidth="1"/>
    <col min="2570" max="2570" width="10.1796875" customWidth="1"/>
    <col min="2571" max="2571" width="12.7265625" customWidth="1"/>
    <col min="2572" max="2572" width="11.54296875" customWidth="1"/>
    <col min="2573" max="2573" width="12" bestFit="1" customWidth="1"/>
    <col min="2574" max="2574" width="14" customWidth="1"/>
    <col min="2575" max="2575" width="11.54296875" customWidth="1"/>
    <col min="2576" max="2576" width="12.7265625" customWidth="1"/>
    <col min="2577" max="2577" width="12.54296875" customWidth="1"/>
    <col min="2578" max="2578" width="11.26953125" customWidth="1"/>
    <col min="2579" max="2579" width="34.54296875" customWidth="1"/>
    <col min="2580" max="2580" width="11" bestFit="1" customWidth="1"/>
    <col min="2582" max="2582" width="14.26953125" customWidth="1"/>
    <col min="2585" max="2585" width="39.453125" customWidth="1"/>
    <col min="2587" max="2587" width="22.26953125" customWidth="1"/>
    <col min="2591" max="2591" width="21.26953125" customWidth="1"/>
    <col min="2595" max="2595" width="20.26953125" customWidth="1"/>
    <col min="2599" max="2599" width="34.453125" customWidth="1"/>
    <col min="2600" max="2600" width="26.54296875" customWidth="1"/>
    <col min="2601" max="2601" width="16.453125" customWidth="1"/>
    <col min="2602" max="2603" width="20.1796875" customWidth="1"/>
    <col min="2604" max="2604" width="37.1796875" customWidth="1"/>
    <col min="2605" max="2605" width="27" customWidth="1"/>
    <col min="2606" max="2606" width="12.1796875" customWidth="1"/>
    <col min="2607" max="2607" width="12.453125" bestFit="1" customWidth="1"/>
    <col min="2610" max="2610" width="34.81640625" customWidth="1"/>
    <col min="2615" max="2615" width="9.453125" customWidth="1"/>
    <col min="2821" max="2821" width="12" bestFit="1" customWidth="1"/>
    <col min="2822" max="2822" width="16.7265625" bestFit="1" customWidth="1"/>
    <col min="2823" max="2823" width="11.453125" customWidth="1"/>
    <col min="2824" max="2824" width="16.7265625" customWidth="1"/>
    <col min="2825" max="2825" width="11.453125" customWidth="1"/>
    <col min="2826" max="2826" width="10.1796875" customWidth="1"/>
    <col min="2827" max="2827" width="12.7265625" customWidth="1"/>
    <col min="2828" max="2828" width="11.54296875" customWidth="1"/>
    <col min="2829" max="2829" width="12" bestFit="1" customWidth="1"/>
    <col min="2830" max="2830" width="14" customWidth="1"/>
    <col min="2831" max="2831" width="11.54296875" customWidth="1"/>
    <col min="2832" max="2832" width="12.7265625" customWidth="1"/>
    <col min="2833" max="2833" width="12.54296875" customWidth="1"/>
    <col min="2834" max="2834" width="11.26953125" customWidth="1"/>
    <col min="2835" max="2835" width="34.54296875" customWidth="1"/>
    <col min="2836" max="2836" width="11" bestFit="1" customWidth="1"/>
    <col min="2838" max="2838" width="14.26953125" customWidth="1"/>
    <col min="2841" max="2841" width="39.453125" customWidth="1"/>
    <col min="2843" max="2843" width="22.26953125" customWidth="1"/>
    <col min="2847" max="2847" width="21.26953125" customWidth="1"/>
    <col min="2851" max="2851" width="20.26953125" customWidth="1"/>
    <col min="2855" max="2855" width="34.453125" customWidth="1"/>
    <col min="2856" max="2856" width="26.54296875" customWidth="1"/>
    <col min="2857" max="2857" width="16.453125" customWidth="1"/>
    <col min="2858" max="2859" width="20.1796875" customWidth="1"/>
    <col min="2860" max="2860" width="37.1796875" customWidth="1"/>
    <col min="2861" max="2861" width="27" customWidth="1"/>
    <col min="2862" max="2862" width="12.1796875" customWidth="1"/>
    <col min="2863" max="2863" width="12.453125" bestFit="1" customWidth="1"/>
    <col min="2866" max="2866" width="34.81640625" customWidth="1"/>
    <col min="2871" max="2871" width="9.453125" customWidth="1"/>
    <col min="3077" max="3077" width="12" bestFit="1" customWidth="1"/>
    <col min="3078" max="3078" width="16.7265625" bestFit="1" customWidth="1"/>
    <col min="3079" max="3079" width="11.453125" customWidth="1"/>
    <col min="3080" max="3080" width="16.7265625" customWidth="1"/>
    <col min="3081" max="3081" width="11.453125" customWidth="1"/>
    <col min="3082" max="3082" width="10.1796875" customWidth="1"/>
    <col min="3083" max="3083" width="12.7265625" customWidth="1"/>
    <col min="3084" max="3084" width="11.54296875" customWidth="1"/>
    <col min="3085" max="3085" width="12" bestFit="1" customWidth="1"/>
    <col min="3086" max="3086" width="14" customWidth="1"/>
    <col min="3087" max="3087" width="11.54296875" customWidth="1"/>
    <col min="3088" max="3088" width="12.7265625" customWidth="1"/>
    <col min="3089" max="3089" width="12.54296875" customWidth="1"/>
    <col min="3090" max="3090" width="11.26953125" customWidth="1"/>
    <col min="3091" max="3091" width="34.54296875" customWidth="1"/>
    <col min="3092" max="3092" width="11" bestFit="1" customWidth="1"/>
    <col min="3094" max="3094" width="14.26953125" customWidth="1"/>
    <col min="3097" max="3097" width="39.453125" customWidth="1"/>
    <col min="3099" max="3099" width="22.26953125" customWidth="1"/>
    <col min="3103" max="3103" width="21.26953125" customWidth="1"/>
    <col min="3107" max="3107" width="20.26953125" customWidth="1"/>
    <col min="3111" max="3111" width="34.453125" customWidth="1"/>
    <col min="3112" max="3112" width="26.54296875" customWidth="1"/>
    <col min="3113" max="3113" width="16.453125" customWidth="1"/>
    <col min="3114" max="3115" width="20.1796875" customWidth="1"/>
    <col min="3116" max="3116" width="37.1796875" customWidth="1"/>
    <col min="3117" max="3117" width="27" customWidth="1"/>
    <col min="3118" max="3118" width="12.1796875" customWidth="1"/>
    <col min="3119" max="3119" width="12.453125" bestFit="1" customWidth="1"/>
    <col min="3122" max="3122" width="34.81640625" customWidth="1"/>
    <col min="3127" max="3127" width="9.453125" customWidth="1"/>
    <col min="3333" max="3333" width="12" bestFit="1" customWidth="1"/>
    <col min="3334" max="3334" width="16.7265625" bestFit="1" customWidth="1"/>
    <col min="3335" max="3335" width="11.453125" customWidth="1"/>
    <col min="3336" max="3336" width="16.7265625" customWidth="1"/>
    <col min="3337" max="3337" width="11.453125" customWidth="1"/>
    <col min="3338" max="3338" width="10.1796875" customWidth="1"/>
    <col min="3339" max="3339" width="12.7265625" customWidth="1"/>
    <col min="3340" max="3340" width="11.54296875" customWidth="1"/>
    <col min="3341" max="3341" width="12" bestFit="1" customWidth="1"/>
    <col min="3342" max="3342" width="14" customWidth="1"/>
    <col min="3343" max="3343" width="11.54296875" customWidth="1"/>
    <col min="3344" max="3344" width="12.7265625" customWidth="1"/>
    <col min="3345" max="3345" width="12.54296875" customWidth="1"/>
    <col min="3346" max="3346" width="11.26953125" customWidth="1"/>
    <col min="3347" max="3347" width="34.54296875" customWidth="1"/>
    <col min="3348" max="3348" width="11" bestFit="1" customWidth="1"/>
    <col min="3350" max="3350" width="14.26953125" customWidth="1"/>
    <col min="3353" max="3353" width="39.453125" customWidth="1"/>
    <col min="3355" max="3355" width="22.26953125" customWidth="1"/>
    <col min="3359" max="3359" width="21.26953125" customWidth="1"/>
    <col min="3363" max="3363" width="20.26953125" customWidth="1"/>
    <col min="3367" max="3367" width="34.453125" customWidth="1"/>
    <col min="3368" max="3368" width="26.54296875" customWidth="1"/>
    <col min="3369" max="3369" width="16.453125" customWidth="1"/>
    <col min="3370" max="3371" width="20.1796875" customWidth="1"/>
    <col min="3372" max="3372" width="37.1796875" customWidth="1"/>
    <col min="3373" max="3373" width="27" customWidth="1"/>
    <col min="3374" max="3374" width="12.1796875" customWidth="1"/>
    <col min="3375" max="3375" width="12.453125" bestFit="1" customWidth="1"/>
    <col min="3378" max="3378" width="34.81640625" customWidth="1"/>
    <col min="3383" max="3383" width="9.453125" customWidth="1"/>
    <col min="3589" max="3589" width="12" bestFit="1" customWidth="1"/>
    <col min="3590" max="3590" width="16.7265625" bestFit="1" customWidth="1"/>
    <col min="3591" max="3591" width="11.453125" customWidth="1"/>
    <col min="3592" max="3592" width="16.7265625" customWidth="1"/>
    <col min="3593" max="3593" width="11.453125" customWidth="1"/>
    <col min="3594" max="3594" width="10.1796875" customWidth="1"/>
    <col min="3595" max="3595" width="12.7265625" customWidth="1"/>
    <col min="3596" max="3596" width="11.54296875" customWidth="1"/>
    <col min="3597" max="3597" width="12" bestFit="1" customWidth="1"/>
    <col min="3598" max="3598" width="14" customWidth="1"/>
    <col min="3599" max="3599" width="11.54296875" customWidth="1"/>
    <col min="3600" max="3600" width="12.7265625" customWidth="1"/>
    <col min="3601" max="3601" width="12.54296875" customWidth="1"/>
    <col min="3602" max="3602" width="11.26953125" customWidth="1"/>
    <col min="3603" max="3603" width="34.54296875" customWidth="1"/>
    <col min="3604" max="3604" width="11" bestFit="1" customWidth="1"/>
    <col min="3606" max="3606" width="14.26953125" customWidth="1"/>
    <col min="3609" max="3609" width="39.453125" customWidth="1"/>
    <col min="3611" max="3611" width="22.26953125" customWidth="1"/>
    <col min="3615" max="3615" width="21.26953125" customWidth="1"/>
    <col min="3619" max="3619" width="20.26953125" customWidth="1"/>
    <col min="3623" max="3623" width="34.453125" customWidth="1"/>
    <col min="3624" max="3624" width="26.54296875" customWidth="1"/>
    <col min="3625" max="3625" width="16.453125" customWidth="1"/>
    <col min="3626" max="3627" width="20.1796875" customWidth="1"/>
    <col min="3628" max="3628" width="37.1796875" customWidth="1"/>
    <col min="3629" max="3629" width="27" customWidth="1"/>
    <col min="3630" max="3630" width="12.1796875" customWidth="1"/>
    <col min="3631" max="3631" width="12.453125" bestFit="1" customWidth="1"/>
    <col min="3634" max="3634" width="34.81640625" customWidth="1"/>
    <col min="3639" max="3639" width="9.453125" customWidth="1"/>
    <col min="3845" max="3845" width="12" bestFit="1" customWidth="1"/>
    <col min="3846" max="3846" width="16.7265625" bestFit="1" customWidth="1"/>
    <col min="3847" max="3847" width="11.453125" customWidth="1"/>
    <col min="3848" max="3848" width="16.7265625" customWidth="1"/>
    <col min="3849" max="3849" width="11.453125" customWidth="1"/>
    <col min="3850" max="3850" width="10.1796875" customWidth="1"/>
    <col min="3851" max="3851" width="12.7265625" customWidth="1"/>
    <col min="3852" max="3852" width="11.54296875" customWidth="1"/>
    <col min="3853" max="3853" width="12" bestFit="1" customWidth="1"/>
    <col min="3854" max="3854" width="14" customWidth="1"/>
    <col min="3855" max="3855" width="11.54296875" customWidth="1"/>
    <col min="3856" max="3856" width="12.7265625" customWidth="1"/>
    <col min="3857" max="3857" width="12.54296875" customWidth="1"/>
    <col min="3858" max="3858" width="11.26953125" customWidth="1"/>
    <col min="3859" max="3859" width="34.54296875" customWidth="1"/>
    <col min="3860" max="3860" width="11" bestFit="1" customWidth="1"/>
    <col min="3862" max="3862" width="14.26953125" customWidth="1"/>
    <col min="3865" max="3865" width="39.453125" customWidth="1"/>
    <col min="3867" max="3867" width="22.26953125" customWidth="1"/>
    <col min="3871" max="3871" width="21.26953125" customWidth="1"/>
    <col min="3875" max="3875" width="20.26953125" customWidth="1"/>
    <col min="3879" max="3879" width="34.453125" customWidth="1"/>
    <col min="3880" max="3880" width="26.54296875" customWidth="1"/>
    <col min="3881" max="3881" width="16.453125" customWidth="1"/>
    <col min="3882" max="3883" width="20.1796875" customWidth="1"/>
    <col min="3884" max="3884" width="37.1796875" customWidth="1"/>
    <col min="3885" max="3885" width="27" customWidth="1"/>
    <col min="3886" max="3886" width="12.1796875" customWidth="1"/>
    <col min="3887" max="3887" width="12.453125" bestFit="1" customWidth="1"/>
    <col min="3890" max="3890" width="34.81640625" customWidth="1"/>
    <col min="3895" max="3895" width="9.453125" customWidth="1"/>
    <col min="4101" max="4101" width="12" bestFit="1" customWidth="1"/>
    <col min="4102" max="4102" width="16.7265625" bestFit="1" customWidth="1"/>
    <col min="4103" max="4103" width="11.453125" customWidth="1"/>
    <col min="4104" max="4104" width="16.7265625" customWidth="1"/>
    <col min="4105" max="4105" width="11.453125" customWidth="1"/>
    <col min="4106" max="4106" width="10.1796875" customWidth="1"/>
    <col min="4107" max="4107" width="12.7265625" customWidth="1"/>
    <col min="4108" max="4108" width="11.54296875" customWidth="1"/>
    <col min="4109" max="4109" width="12" bestFit="1" customWidth="1"/>
    <col min="4110" max="4110" width="14" customWidth="1"/>
    <col min="4111" max="4111" width="11.54296875" customWidth="1"/>
    <col min="4112" max="4112" width="12.7265625" customWidth="1"/>
    <col min="4113" max="4113" width="12.54296875" customWidth="1"/>
    <col min="4114" max="4114" width="11.26953125" customWidth="1"/>
    <col min="4115" max="4115" width="34.54296875" customWidth="1"/>
    <col min="4116" max="4116" width="11" bestFit="1" customWidth="1"/>
    <col min="4118" max="4118" width="14.26953125" customWidth="1"/>
    <col min="4121" max="4121" width="39.453125" customWidth="1"/>
    <col min="4123" max="4123" width="22.26953125" customWidth="1"/>
    <col min="4127" max="4127" width="21.26953125" customWidth="1"/>
    <col min="4131" max="4131" width="20.26953125" customWidth="1"/>
    <col min="4135" max="4135" width="34.453125" customWidth="1"/>
    <col min="4136" max="4136" width="26.54296875" customWidth="1"/>
    <col min="4137" max="4137" width="16.453125" customWidth="1"/>
    <col min="4138" max="4139" width="20.1796875" customWidth="1"/>
    <col min="4140" max="4140" width="37.1796875" customWidth="1"/>
    <col min="4141" max="4141" width="27" customWidth="1"/>
    <col min="4142" max="4142" width="12.1796875" customWidth="1"/>
    <col min="4143" max="4143" width="12.453125" bestFit="1" customWidth="1"/>
    <col min="4146" max="4146" width="34.81640625" customWidth="1"/>
    <col min="4151" max="4151" width="9.453125" customWidth="1"/>
    <col min="4357" max="4357" width="12" bestFit="1" customWidth="1"/>
    <col min="4358" max="4358" width="16.7265625" bestFit="1" customWidth="1"/>
    <col min="4359" max="4359" width="11.453125" customWidth="1"/>
    <col min="4360" max="4360" width="16.7265625" customWidth="1"/>
    <col min="4361" max="4361" width="11.453125" customWidth="1"/>
    <col min="4362" max="4362" width="10.1796875" customWidth="1"/>
    <col min="4363" max="4363" width="12.7265625" customWidth="1"/>
    <col min="4364" max="4364" width="11.54296875" customWidth="1"/>
    <col min="4365" max="4365" width="12" bestFit="1" customWidth="1"/>
    <col min="4366" max="4366" width="14" customWidth="1"/>
    <col min="4367" max="4367" width="11.54296875" customWidth="1"/>
    <col min="4368" max="4368" width="12.7265625" customWidth="1"/>
    <col min="4369" max="4369" width="12.54296875" customWidth="1"/>
    <col min="4370" max="4370" width="11.26953125" customWidth="1"/>
    <col min="4371" max="4371" width="34.54296875" customWidth="1"/>
    <col min="4372" max="4372" width="11" bestFit="1" customWidth="1"/>
    <col min="4374" max="4374" width="14.26953125" customWidth="1"/>
    <col min="4377" max="4377" width="39.453125" customWidth="1"/>
    <col min="4379" max="4379" width="22.26953125" customWidth="1"/>
    <col min="4383" max="4383" width="21.26953125" customWidth="1"/>
    <col min="4387" max="4387" width="20.26953125" customWidth="1"/>
    <col min="4391" max="4391" width="34.453125" customWidth="1"/>
    <col min="4392" max="4392" width="26.54296875" customWidth="1"/>
    <col min="4393" max="4393" width="16.453125" customWidth="1"/>
    <col min="4394" max="4395" width="20.1796875" customWidth="1"/>
    <col min="4396" max="4396" width="37.1796875" customWidth="1"/>
    <col min="4397" max="4397" width="27" customWidth="1"/>
    <col min="4398" max="4398" width="12.1796875" customWidth="1"/>
    <col min="4399" max="4399" width="12.453125" bestFit="1" customWidth="1"/>
    <col min="4402" max="4402" width="34.81640625" customWidth="1"/>
    <col min="4407" max="4407" width="9.453125" customWidth="1"/>
    <col min="4613" max="4613" width="12" bestFit="1" customWidth="1"/>
    <col min="4614" max="4614" width="16.7265625" bestFit="1" customWidth="1"/>
    <col min="4615" max="4615" width="11.453125" customWidth="1"/>
    <col min="4616" max="4616" width="16.7265625" customWidth="1"/>
    <col min="4617" max="4617" width="11.453125" customWidth="1"/>
    <col min="4618" max="4618" width="10.1796875" customWidth="1"/>
    <col min="4619" max="4619" width="12.7265625" customWidth="1"/>
    <col min="4620" max="4620" width="11.54296875" customWidth="1"/>
    <col min="4621" max="4621" width="12" bestFit="1" customWidth="1"/>
    <col min="4622" max="4622" width="14" customWidth="1"/>
    <col min="4623" max="4623" width="11.54296875" customWidth="1"/>
    <col min="4624" max="4624" width="12.7265625" customWidth="1"/>
    <col min="4625" max="4625" width="12.54296875" customWidth="1"/>
    <col min="4626" max="4626" width="11.26953125" customWidth="1"/>
    <col min="4627" max="4627" width="34.54296875" customWidth="1"/>
    <col min="4628" max="4628" width="11" bestFit="1" customWidth="1"/>
    <col min="4630" max="4630" width="14.26953125" customWidth="1"/>
    <col min="4633" max="4633" width="39.453125" customWidth="1"/>
    <col min="4635" max="4635" width="22.26953125" customWidth="1"/>
    <col min="4639" max="4639" width="21.26953125" customWidth="1"/>
    <col min="4643" max="4643" width="20.26953125" customWidth="1"/>
    <col min="4647" max="4647" width="34.453125" customWidth="1"/>
    <col min="4648" max="4648" width="26.54296875" customWidth="1"/>
    <col min="4649" max="4649" width="16.453125" customWidth="1"/>
    <col min="4650" max="4651" width="20.1796875" customWidth="1"/>
    <col min="4652" max="4652" width="37.1796875" customWidth="1"/>
    <col min="4653" max="4653" width="27" customWidth="1"/>
    <col min="4654" max="4654" width="12.1796875" customWidth="1"/>
    <col min="4655" max="4655" width="12.453125" bestFit="1" customWidth="1"/>
    <col min="4658" max="4658" width="34.81640625" customWidth="1"/>
    <col min="4663" max="4663" width="9.453125" customWidth="1"/>
    <col min="4869" max="4869" width="12" bestFit="1" customWidth="1"/>
    <col min="4870" max="4870" width="16.7265625" bestFit="1" customWidth="1"/>
    <col min="4871" max="4871" width="11.453125" customWidth="1"/>
    <col min="4872" max="4872" width="16.7265625" customWidth="1"/>
    <col min="4873" max="4873" width="11.453125" customWidth="1"/>
    <col min="4874" max="4874" width="10.1796875" customWidth="1"/>
    <col min="4875" max="4875" width="12.7265625" customWidth="1"/>
    <col min="4876" max="4876" width="11.54296875" customWidth="1"/>
    <col min="4877" max="4877" width="12" bestFit="1" customWidth="1"/>
    <col min="4878" max="4878" width="14" customWidth="1"/>
    <col min="4879" max="4879" width="11.54296875" customWidth="1"/>
    <col min="4880" max="4880" width="12.7265625" customWidth="1"/>
    <col min="4881" max="4881" width="12.54296875" customWidth="1"/>
    <col min="4882" max="4882" width="11.26953125" customWidth="1"/>
    <col min="4883" max="4883" width="34.54296875" customWidth="1"/>
    <col min="4884" max="4884" width="11" bestFit="1" customWidth="1"/>
    <col min="4886" max="4886" width="14.26953125" customWidth="1"/>
    <col min="4889" max="4889" width="39.453125" customWidth="1"/>
    <col min="4891" max="4891" width="22.26953125" customWidth="1"/>
    <col min="4895" max="4895" width="21.26953125" customWidth="1"/>
    <col min="4899" max="4899" width="20.26953125" customWidth="1"/>
    <col min="4903" max="4903" width="34.453125" customWidth="1"/>
    <col min="4904" max="4904" width="26.54296875" customWidth="1"/>
    <col min="4905" max="4905" width="16.453125" customWidth="1"/>
    <col min="4906" max="4907" width="20.1796875" customWidth="1"/>
    <col min="4908" max="4908" width="37.1796875" customWidth="1"/>
    <col min="4909" max="4909" width="27" customWidth="1"/>
    <col min="4910" max="4910" width="12.1796875" customWidth="1"/>
    <col min="4911" max="4911" width="12.453125" bestFit="1" customWidth="1"/>
    <col min="4914" max="4914" width="34.81640625" customWidth="1"/>
    <col min="4919" max="4919" width="9.453125" customWidth="1"/>
    <col min="5125" max="5125" width="12" bestFit="1" customWidth="1"/>
    <col min="5126" max="5126" width="16.7265625" bestFit="1" customWidth="1"/>
    <col min="5127" max="5127" width="11.453125" customWidth="1"/>
    <col min="5128" max="5128" width="16.7265625" customWidth="1"/>
    <col min="5129" max="5129" width="11.453125" customWidth="1"/>
    <col min="5130" max="5130" width="10.1796875" customWidth="1"/>
    <col min="5131" max="5131" width="12.7265625" customWidth="1"/>
    <col min="5132" max="5132" width="11.54296875" customWidth="1"/>
    <col min="5133" max="5133" width="12" bestFit="1" customWidth="1"/>
    <col min="5134" max="5134" width="14" customWidth="1"/>
    <col min="5135" max="5135" width="11.54296875" customWidth="1"/>
    <col min="5136" max="5136" width="12.7265625" customWidth="1"/>
    <col min="5137" max="5137" width="12.54296875" customWidth="1"/>
    <col min="5138" max="5138" width="11.26953125" customWidth="1"/>
    <col min="5139" max="5139" width="34.54296875" customWidth="1"/>
    <col min="5140" max="5140" width="11" bestFit="1" customWidth="1"/>
    <col min="5142" max="5142" width="14.26953125" customWidth="1"/>
    <col min="5145" max="5145" width="39.453125" customWidth="1"/>
    <col min="5147" max="5147" width="22.26953125" customWidth="1"/>
    <col min="5151" max="5151" width="21.26953125" customWidth="1"/>
    <col min="5155" max="5155" width="20.26953125" customWidth="1"/>
    <col min="5159" max="5159" width="34.453125" customWidth="1"/>
    <col min="5160" max="5160" width="26.54296875" customWidth="1"/>
    <col min="5161" max="5161" width="16.453125" customWidth="1"/>
    <col min="5162" max="5163" width="20.1796875" customWidth="1"/>
    <col min="5164" max="5164" width="37.1796875" customWidth="1"/>
    <col min="5165" max="5165" width="27" customWidth="1"/>
    <col min="5166" max="5166" width="12.1796875" customWidth="1"/>
    <col min="5167" max="5167" width="12.453125" bestFit="1" customWidth="1"/>
    <col min="5170" max="5170" width="34.81640625" customWidth="1"/>
    <col min="5175" max="5175" width="9.453125" customWidth="1"/>
    <col min="5381" max="5381" width="12" bestFit="1" customWidth="1"/>
    <col min="5382" max="5382" width="16.7265625" bestFit="1" customWidth="1"/>
    <col min="5383" max="5383" width="11.453125" customWidth="1"/>
    <col min="5384" max="5384" width="16.7265625" customWidth="1"/>
    <col min="5385" max="5385" width="11.453125" customWidth="1"/>
    <col min="5386" max="5386" width="10.1796875" customWidth="1"/>
    <col min="5387" max="5387" width="12.7265625" customWidth="1"/>
    <col min="5388" max="5388" width="11.54296875" customWidth="1"/>
    <col min="5389" max="5389" width="12" bestFit="1" customWidth="1"/>
    <col min="5390" max="5390" width="14" customWidth="1"/>
    <col min="5391" max="5391" width="11.54296875" customWidth="1"/>
    <col min="5392" max="5392" width="12.7265625" customWidth="1"/>
    <col min="5393" max="5393" width="12.54296875" customWidth="1"/>
    <col min="5394" max="5394" width="11.26953125" customWidth="1"/>
    <col min="5395" max="5395" width="34.54296875" customWidth="1"/>
    <col min="5396" max="5396" width="11" bestFit="1" customWidth="1"/>
    <col min="5398" max="5398" width="14.26953125" customWidth="1"/>
    <col min="5401" max="5401" width="39.453125" customWidth="1"/>
    <col min="5403" max="5403" width="22.26953125" customWidth="1"/>
    <col min="5407" max="5407" width="21.26953125" customWidth="1"/>
    <col min="5411" max="5411" width="20.26953125" customWidth="1"/>
    <col min="5415" max="5415" width="34.453125" customWidth="1"/>
    <col min="5416" max="5416" width="26.54296875" customWidth="1"/>
    <col min="5417" max="5417" width="16.453125" customWidth="1"/>
    <col min="5418" max="5419" width="20.1796875" customWidth="1"/>
    <col min="5420" max="5420" width="37.1796875" customWidth="1"/>
    <col min="5421" max="5421" width="27" customWidth="1"/>
    <col min="5422" max="5422" width="12.1796875" customWidth="1"/>
    <col min="5423" max="5423" width="12.453125" bestFit="1" customWidth="1"/>
    <col min="5426" max="5426" width="34.81640625" customWidth="1"/>
    <col min="5431" max="5431" width="9.453125" customWidth="1"/>
    <col min="5637" max="5637" width="12" bestFit="1" customWidth="1"/>
    <col min="5638" max="5638" width="16.7265625" bestFit="1" customWidth="1"/>
    <col min="5639" max="5639" width="11.453125" customWidth="1"/>
    <col min="5640" max="5640" width="16.7265625" customWidth="1"/>
    <col min="5641" max="5641" width="11.453125" customWidth="1"/>
    <col min="5642" max="5642" width="10.1796875" customWidth="1"/>
    <col min="5643" max="5643" width="12.7265625" customWidth="1"/>
    <col min="5644" max="5644" width="11.54296875" customWidth="1"/>
    <col min="5645" max="5645" width="12" bestFit="1" customWidth="1"/>
    <col min="5646" max="5646" width="14" customWidth="1"/>
    <col min="5647" max="5647" width="11.54296875" customWidth="1"/>
    <col min="5648" max="5648" width="12.7265625" customWidth="1"/>
    <col min="5649" max="5649" width="12.54296875" customWidth="1"/>
    <col min="5650" max="5650" width="11.26953125" customWidth="1"/>
    <col min="5651" max="5651" width="34.54296875" customWidth="1"/>
    <col min="5652" max="5652" width="11" bestFit="1" customWidth="1"/>
    <col min="5654" max="5654" width="14.26953125" customWidth="1"/>
    <col min="5657" max="5657" width="39.453125" customWidth="1"/>
    <col min="5659" max="5659" width="22.26953125" customWidth="1"/>
    <col min="5663" max="5663" width="21.26953125" customWidth="1"/>
    <col min="5667" max="5667" width="20.26953125" customWidth="1"/>
    <col min="5671" max="5671" width="34.453125" customWidth="1"/>
    <col min="5672" max="5672" width="26.54296875" customWidth="1"/>
    <col min="5673" max="5673" width="16.453125" customWidth="1"/>
    <col min="5674" max="5675" width="20.1796875" customWidth="1"/>
    <col min="5676" max="5676" width="37.1796875" customWidth="1"/>
    <col min="5677" max="5677" width="27" customWidth="1"/>
    <col min="5678" max="5678" width="12.1796875" customWidth="1"/>
    <col min="5679" max="5679" width="12.453125" bestFit="1" customWidth="1"/>
    <col min="5682" max="5682" width="34.81640625" customWidth="1"/>
    <col min="5687" max="5687" width="9.453125" customWidth="1"/>
    <col min="5893" max="5893" width="12" bestFit="1" customWidth="1"/>
    <col min="5894" max="5894" width="16.7265625" bestFit="1" customWidth="1"/>
    <col min="5895" max="5895" width="11.453125" customWidth="1"/>
    <col min="5896" max="5896" width="16.7265625" customWidth="1"/>
    <col min="5897" max="5897" width="11.453125" customWidth="1"/>
    <col min="5898" max="5898" width="10.1796875" customWidth="1"/>
    <col min="5899" max="5899" width="12.7265625" customWidth="1"/>
    <col min="5900" max="5900" width="11.54296875" customWidth="1"/>
    <col min="5901" max="5901" width="12" bestFit="1" customWidth="1"/>
    <col min="5902" max="5902" width="14" customWidth="1"/>
    <col min="5903" max="5903" width="11.54296875" customWidth="1"/>
    <col min="5904" max="5904" width="12.7265625" customWidth="1"/>
    <col min="5905" max="5905" width="12.54296875" customWidth="1"/>
    <col min="5906" max="5906" width="11.26953125" customWidth="1"/>
    <col min="5907" max="5907" width="34.54296875" customWidth="1"/>
    <col min="5908" max="5908" width="11" bestFit="1" customWidth="1"/>
    <col min="5910" max="5910" width="14.26953125" customWidth="1"/>
    <col min="5913" max="5913" width="39.453125" customWidth="1"/>
    <col min="5915" max="5915" width="22.26953125" customWidth="1"/>
    <col min="5919" max="5919" width="21.26953125" customWidth="1"/>
    <col min="5923" max="5923" width="20.26953125" customWidth="1"/>
    <col min="5927" max="5927" width="34.453125" customWidth="1"/>
    <col min="5928" max="5928" width="26.54296875" customWidth="1"/>
    <col min="5929" max="5929" width="16.453125" customWidth="1"/>
    <col min="5930" max="5931" width="20.1796875" customWidth="1"/>
    <col min="5932" max="5932" width="37.1796875" customWidth="1"/>
    <col min="5933" max="5933" width="27" customWidth="1"/>
    <col min="5934" max="5934" width="12.1796875" customWidth="1"/>
    <col min="5935" max="5935" width="12.453125" bestFit="1" customWidth="1"/>
    <col min="5938" max="5938" width="34.81640625" customWidth="1"/>
    <col min="5943" max="5943" width="9.453125" customWidth="1"/>
    <col min="6149" max="6149" width="12" bestFit="1" customWidth="1"/>
    <col min="6150" max="6150" width="16.7265625" bestFit="1" customWidth="1"/>
    <col min="6151" max="6151" width="11.453125" customWidth="1"/>
    <col min="6152" max="6152" width="16.7265625" customWidth="1"/>
    <col min="6153" max="6153" width="11.453125" customWidth="1"/>
    <col min="6154" max="6154" width="10.1796875" customWidth="1"/>
    <col min="6155" max="6155" width="12.7265625" customWidth="1"/>
    <col min="6156" max="6156" width="11.54296875" customWidth="1"/>
    <col min="6157" max="6157" width="12" bestFit="1" customWidth="1"/>
    <col min="6158" max="6158" width="14" customWidth="1"/>
    <col min="6159" max="6159" width="11.54296875" customWidth="1"/>
    <col min="6160" max="6160" width="12.7265625" customWidth="1"/>
    <col min="6161" max="6161" width="12.54296875" customWidth="1"/>
    <col min="6162" max="6162" width="11.26953125" customWidth="1"/>
    <col min="6163" max="6163" width="34.54296875" customWidth="1"/>
    <col min="6164" max="6164" width="11" bestFit="1" customWidth="1"/>
    <col min="6166" max="6166" width="14.26953125" customWidth="1"/>
    <col min="6169" max="6169" width="39.453125" customWidth="1"/>
    <col min="6171" max="6171" width="22.26953125" customWidth="1"/>
    <col min="6175" max="6175" width="21.26953125" customWidth="1"/>
    <col min="6179" max="6179" width="20.26953125" customWidth="1"/>
    <col min="6183" max="6183" width="34.453125" customWidth="1"/>
    <col min="6184" max="6184" width="26.54296875" customWidth="1"/>
    <col min="6185" max="6185" width="16.453125" customWidth="1"/>
    <col min="6186" max="6187" width="20.1796875" customWidth="1"/>
    <col min="6188" max="6188" width="37.1796875" customWidth="1"/>
    <col min="6189" max="6189" width="27" customWidth="1"/>
    <col min="6190" max="6190" width="12.1796875" customWidth="1"/>
    <col min="6191" max="6191" width="12.453125" bestFit="1" customWidth="1"/>
    <col min="6194" max="6194" width="34.81640625" customWidth="1"/>
    <col min="6199" max="6199" width="9.453125" customWidth="1"/>
    <col min="6405" max="6405" width="12" bestFit="1" customWidth="1"/>
    <col min="6406" max="6406" width="16.7265625" bestFit="1" customWidth="1"/>
    <col min="6407" max="6407" width="11.453125" customWidth="1"/>
    <col min="6408" max="6408" width="16.7265625" customWidth="1"/>
    <col min="6409" max="6409" width="11.453125" customWidth="1"/>
    <col min="6410" max="6410" width="10.1796875" customWidth="1"/>
    <col min="6411" max="6411" width="12.7265625" customWidth="1"/>
    <col min="6412" max="6412" width="11.54296875" customWidth="1"/>
    <col min="6413" max="6413" width="12" bestFit="1" customWidth="1"/>
    <col min="6414" max="6414" width="14" customWidth="1"/>
    <col min="6415" max="6415" width="11.54296875" customWidth="1"/>
    <col min="6416" max="6416" width="12.7265625" customWidth="1"/>
    <col min="6417" max="6417" width="12.54296875" customWidth="1"/>
    <col min="6418" max="6418" width="11.26953125" customWidth="1"/>
    <col min="6419" max="6419" width="34.54296875" customWidth="1"/>
    <col min="6420" max="6420" width="11" bestFit="1" customWidth="1"/>
    <col min="6422" max="6422" width="14.26953125" customWidth="1"/>
    <col min="6425" max="6425" width="39.453125" customWidth="1"/>
    <col min="6427" max="6427" width="22.26953125" customWidth="1"/>
    <col min="6431" max="6431" width="21.26953125" customWidth="1"/>
    <col min="6435" max="6435" width="20.26953125" customWidth="1"/>
    <col min="6439" max="6439" width="34.453125" customWidth="1"/>
    <col min="6440" max="6440" width="26.54296875" customWidth="1"/>
    <col min="6441" max="6441" width="16.453125" customWidth="1"/>
    <col min="6442" max="6443" width="20.1796875" customWidth="1"/>
    <col min="6444" max="6444" width="37.1796875" customWidth="1"/>
    <col min="6445" max="6445" width="27" customWidth="1"/>
    <col min="6446" max="6446" width="12.1796875" customWidth="1"/>
    <col min="6447" max="6447" width="12.453125" bestFit="1" customWidth="1"/>
    <col min="6450" max="6450" width="34.81640625" customWidth="1"/>
    <col min="6455" max="6455" width="9.453125" customWidth="1"/>
    <col min="6661" max="6661" width="12" bestFit="1" customWidth="1"/>
    <col min="6662" max="6662" width="16.7265625" bestFit="1" customWidth="1"/>
    <col min="6663" max="6663" width="11.453125" customWidth="1"/>
    <col min="6664" max="6664" width="16.7265625" customWidth="1"/>
    <col min="6665" max="6665" width="11.453125" customWidth="1"/>
    <col min="6666" max="6666" width="10.1796875" customWidth="1"/>
    <col min="6667" max="6667" width="12.7265625" customWidth="1"/>
    <col min="6668" max="6668" width="11.54296875" customWidth="1"/>
    <col min="6669" max="6669" width="12" bestFit="1" customWidth="1"/>
    <col min="6670" max="6670" width="14" customWidth="1"/>
    <col min="6671" max="6671" width="11.54296875" customWidth="1"/>
    <col min="6672" max="6672" width="12.7265625" customWidth="1"/>
    <col min="6673" max="6673" width="12.54296875" customWidth="1"/>
    <col min="6674" max="6674" width="11.26953125" customWidth="1"/>
    <col min="6675" max="6675" width="34.54296875" customWidth="1"/>
    <col min="6676" max="6676" width="11" bestFit="1" customWidth="1"/>
    <col min="6678" max="6678" width="14.26953125" customWidth="1"/>
    <col min="6681" max="6681" width="39.453125" customWidth="1"/>
    <col min="6683" max="6683" width="22.26953125" customWidth="1"/>
    <col min="6687" max="6687" width="21.26953125" customWidth="1"/>
    <col min="6691" max="6691" width="20.26953125" customWidth="1"/>
    <col min="6695" max="6695" width="34.453125" customWidth="1"/>
    <col min="6696" max="6696" width="26.54296875" customWidth="1"/>
    <col min="6697" max="6697" width="16.453125" customWidth="1"/>
    <col min="6698" max="6699" width="20.1796875" customWidth="1"/>
    <col min="6700" max="6700" width="37.1796875" customWidth="1"/>
    <col min="6701" max="6701" width="27" customWidth="1"/>
    <col min="6702" max="6702" width="12.1796875" customWidth="1"/>
    <col min="6703" max="6703" width="12.453125" bestFit="1" customWidth="1"/>
    <col min="6706" max="6706" width="34.81640625" customWidth="1"/>
    <col min="6711" max="6711" width="9.453125" customWidth="1"/>
    <col min="6917" max="6917" width="12" bestFit="1" customWidth="1"/>
    <col min="6918" max="6918" width="16.7265625" bestFit="1" customWidth="1"/>
    <col min="6919" max="6919" width="11.453125" customWidth="1"/>
    <col min="6920" max="6920" width="16.7265625" customWidth="1"/>
    <col min="6921" max="6921" width="11.453125" customWidth="1"/>
    <col min="6922" max="6922" width="10.1796875" customWidth="1"/>
    <col min="6923" max="6923" width="12.7265625" customWidth="1"/>
    <col min="6924" max="6924" width="11.54296875" customWidth="1"/>
    <col min="6925" max="6925" width="12" bestFit="1" customWidth="1"/>
    <col min="6926" max="6926" width="14" customWidth="1"/>
    <col min="6927" max="6927" width="11.54296875" customWidth="1"/>
    <col min="6928" max="6928" width="12.7265625" customWidth="1"/>
    <col min="6929" max="6929" width="12.54296875" customWidth="1"/>
    <col min="6930" max="6930" width="11.26953125" customWidth="1"/>
    <col min="6931" max="6931" width="34.54296875" customWidth="1"/>
    <col min="6932" max="6932" width="11" bestFit="1" customWidth="1"/>
    <col min="6934" max="6934" width="14.26953125" customWidth="1"/>
    <col min="6937" max="6937" width="39.453125" customWidth="1"/>
    <col min="6939" max="6939" width="22.26953125" customWidth="1"/>
    <col min="6943" max="6943" width="21.26953125" customWidth="1"/>
    <col min="6947" max="6947" width="20.26953125" customWidth="1"/>
    <col min="6951" max="6951" width="34.453125" customWidth="1"/>
    <col min="6952" max="6952" width="26.54296875" customWidth="1"/>
    <col min="6953" max="6953" width="16.453125" customWidth="1"/>
    <col min="6954" max="6955" width="20.1796875" customWidth="1"/>
    <col min="6956" max="6956" width="37.1796875" customWidth="1"/>
    <col min="6957" max="6957" width="27" customWidth="1"/>
    <col min="6958" max="6958" width="12.1796875" customWidth="1"/>
    <col min="6959" max="6959" width="12.453125" bestFit="1" customWidth="1"/>
    <col min="6962" max="6962" width="34.81640625" customWidth="1"/>
    <col min="6967" max="6967" width="9.453125" customWidth="1"/>
    <col min="7173" max="7173" width="12" bestFit="1" customWidth="1"/>
    <col min="7174" max="7174" width="16.7265625" bestFit="1" customWidth="1"/>
    <col min="7175" max="7175" width="11.453125" customWidth="1"/>
    <col min="7176" max="7176" width="16.7265625" customWidth="1"/>
    <col min="7177" max="7177" width="11.453125" customWidth="1"/>
    <col min="7178" max="7178" width="10.1796875" customWidth="1"/>
    <col min="7179" max="7179" width="12.7265625" customWidth="1"/>
    <col min="7180" max="7180" width="11.54296875" customWidth="1"/>
    <col min="7181" max="7181" width="12" bestFit="1" customWidth="1"/>
    <col min="7182" max="7182" width="14" customWidth="1"/>
    <col min="7183" max="7183" width="11.54296875" customWidth="1"/>
    <col min="7184" max="7184" width="12.7265625" customWidth="1"/>
    <col min="7185" max="7185" width="12.54296875" customWidth="1"/>
    <col min="7186" max="7186" width="11.26953125" customWidth="1"/>
    <col min="7187" max="7187" width="34.54296875" customWidth="1"/>
    <col min="7188" max="7188" width="11" bestFit="1" customWidth="1"/>
    <col min="7190" max="7190" width="14.26953125" customWidth="1"/>
    <col min="7193" max="7193" width="39.453125" customWidth="1"/>
    <col min="7195" max="7195" width="22.26953125" customWidth="1"/>
    <col min="7199" max="7199" width="21.26953125" customWidth="1"/>
    <col min="7203" max="7203" width="20.26953125" customWidth="1"/>
    <col min="7207" max="7207" width="34.453125" customWidth="1"/>
    <col min="7208" max="7208" width="26.54296875" customWidth="1"/>
    <col min="7209" max="7209" width="16.453125" customWidth="1"/>
    <col min="7210" max="7211" width="20.1796875" customWidth="1"/>
    <col min="7212" max="7212" width="37.1796875" customWidth="1"/>
    <col min="7213" max="7213" width="27" customWidth="1"/>
    <col min="7214" max="7214" width="12.1796875" customWidth="1"/>
    <col min="7215" max="7215" width="12.453125" bestFit="1" customWidth="1"/>
    <col min="7218" max="7218" width="34.81640625" customWidth="1"/>
    <col min="7223" max="7223" width="9.453125" customWidth="1"/>
    <col min="7429" max="7429" width="12" bestFit="1" customWidth="1"/>
    <col min="7430" max="7430" width="16.7265625" bestFit="1" customWidth="1"/>
    <col min="7431" max="7431" width="11.453125" customWidth="1"/>
    <col min="7432" max="7432" width="16.7265625" customWidth="1"/>
    <col min="7433" max="7433" width="11.453125" customWidth="1"/>
    <col min="7434" max="7434" width="10.1796875" customWidth="1"/>
    <col min="7435" max="7435" width="12.7265625" customWidth="1"/>
    <col min="7436" max="7436" width="11.54296875" customWidth="1"/>
    <col min="7437" max="7437" width="12" bestFit="1" customWidth="1"/>
    <col min="7438" max="7438" width="14" customWidth="1"/>
    <col min="7439" max="7439" width="11.54296875" customWidth="1"/>
    <col min="7440" max="7440" width="12.7265625" customWidth="1"/>
    <col min="7441" max="7441" width="12.54296875" customWidth="1"/>
    <col min="7442" max="7442" width="11.26953125" customWidth="1"/>
    <col min="7443" max="7443" width="34.54296875" customWidth="1"/>
    <col min="7444" max="7444" width="11" bestFit="1" customWidth="1"/>
    <col min="7446" max="7446" width="14.26953125" customWidth="1"/>
    <col min="7449" max="7449" width="39.453125" customWidth="1"/>
    <col min="7451" max="7451" width="22.26953125" customWidth="1"/>
    <col min="7455" max="7455" width="21.26953125" customWidth="1"/>
    <col min="7459" max="7459" width="20.26953125" customWidth="1"/>
    <col min="7463" max="7463" width="34.453125" customWidth="1"/>
    <col min="7464" max="7464" width="26.54296875" customWidth="1"/>
    <col min="7465" max="7465" width="16.453125" customWidth="1"/>
    <col min="7466" max="7467" width="20.1796875" customWidth="1"/>
    <col min="7468" max="7468" width="37.1796875" customWidth="1"/>
    <col min="7469" max="7469" width="27" customWidth="1"/>
    <col min="7470" max="7470" width="12.1796875" customWidth="1"/>
    <col min="7471" max="7471" width="12.453125" bestFit="1" customWidth="1"/>
    <col min="7474" max="7474" width="34.81640625" customWidth="1"/>
    <col min="7479" max="7479" width="9.453125" customWidth="1"/>
    <col min="7685" max="7685" width="12" bestFit="1" customWidth="1"/>
    <col min="7686" max="7686" width="16.7265625" bestFit="1" customWidth="1"/>
    <col min="7687" max="7687" width="11.453125" customWidth="1"/>
    <col min="7688" max="7688" width="16.7265625" customWidth="1"/>
    <col min="7689" max="7689" width="11.453125" customWidth="1"/>
    <col min="7690" max="7690" width="10.1796875" customWidth="1"/>
    <col min="7691" max="7691" width="12.7265625" customWidth="1"/>
    <col min="7692" max="7692" width="11.54296875" customWidth="1"/>
    <col min="7693" max="7693" width="12" bestFit="1" customWidth="1"/>
    <col min="7694" max="7694" width="14" customWidth="1"/>
    <col min="7695" max="7695" width="11.54296875" customWidth="1"/>
    <col min="7696" max="7696" width="12.7265625" customWidth="1"/>
    <col min="7697" max="7697" width="12.54296875" customWidth="1"/>
    <col min="7698" max="7698" width="11.26953125" customWidth="1"/>
    <col min="7699" max="7699" width="34.54296875" customWidth="1"/>
    <col min="7700" max="7700" width="11" bestFit="1" customWidth="1"/>
    <col min="7702" max="7702" width="14.26953125" customWidth="1"/>
    <col min="7705" max="7705" width="39.453125" customWidth="1"/>
    <col min="7707" max="7707" width="22.26953125" customWidth="1"/>
    <col min="7711" max="7711" width="21.26953125" customWidth="1"/>
    <col min="7715" max="7715" width="20.26953125" customWidth="1"/>
    <col min="7719" max="7719" width="34.453125" customWidth="1"/>
    <col min="7720" max="7720" width="26.54296875" customWidth="1"/>
    <col min="7721" max="7721" width="16.453125" customWidth="1"/>
    <col min="7722" max="7723" width="20.1796875" customWidth="1"/>
    <col min="7724" max="7724" width="37.1796875" customWidth="1"/>
    <col min="7725" max="7725" width="27" customWidth="1"/>
    <col min="7726" max="7726" width="12.1796875" customWidth="1"/>
    <col min="7727" max="7727" width="12.453125" bestFit="1" customWidth="1"/>
    <col min="7730" max="7730" width="34.81640625" customWidth="1"/>
    <col min="7735" max="7735" width="9.453125" customWidth="1"/>
    <col min="7941" max="7941" width="12" bestFit="1" customWidth="1"/>
    <col min="7942" max="7942" width="16.7265625" bestFit="1" customWidth="1"/>
    <col min="7943" max="7943" width="11.453125" customWidth="1"/>
    <col min="7944" max="7944" width="16.7265625" customWidth="1"/>
    <col min="7945" max="7945" width="11.453125" customWidth="1"/>
    <col min="7946" max="7946" width="10.1796875" customWidth="1"/>
    <col min="7947" max="7947" width="12.7265625" customWidth="1"/>
    <col min="7948" max="7948" width="11.54296875" customWidth="1"/>
    <col min="7949" max="7949" width="12" bestFit="1" customWidth="1"/>
    <col min="7950" max="7950" width="14" customWidth="1"/>
    <col min="7951" max="7951" width="11.54296875" customWidth="1"/>
    <col min="7952" max="7952" width="12.7265625" customWidth="1"/>
    <col min="7953" max="7953" width="12.54296875" customWidth="1"/>
    <col min="7954" max="7954" width="11.26953125" customWidth="1"/>
    <col min="7955" max="7955" width="34.54296875" customWidth="1"/>
    <col min="7956" max="7956" width="11" bestFit="1" customWidth="1"/>
    <col min="7958" max="7958" width="14.26953125" customWidth="1"/>
    <col min="7961" max="7961" width="39.453125" customWidth="1"/>
    <col min="7963" max="7963" width="22.26953125" customWidth="1"/>
    <col min="7967" max="7967" width="21.26953125" customWidth="1"/>
    <col min="7971" max="7971" width="20.26953125" customWidth="1"/>
    <col min="7975" max="7975" width="34.453125" customWidth="1"/>
    <col min="7976" max="7976" width="26.54296875" customWidth="1"/>
    <col min="7977" max="7977" width="16.453125" customWidth="1"/>
    <col min="7978" max="7979" width="20.1796875" customWidth="1"/>
    <col min="7980" max="7980" width="37.1796875" customWidth="1"/>
    <col min="7981" max="7981" width="27" customWidth="1"/>
    <col min="7982" max="7982" width="12.1796875" customWidth="1"/>
    <col min="7983" max="7983" width="12.453125" bestFit="1" customWidth="1"/>
    <col min="7986" max="7986" width="34.81640625" customWidth="1"/>
    <col min="7991" max="7991" width="9.453125" customWidth="1"/>
    <col min="8197" max="8197" width="12" bestFit="1" customWidth="1"/>
    <col min="8198" max="8198" width="16.7265625" bestFit="1" customWidth="1"/>
    <col min="8199" max="8199" width="11.453125" customWidth="1"/>
    <col min="8200" max="8200" width="16.7265625" customWidth="1"/>
    <col min="8201" max="8201" width="11.453125" customWidth="1"/>
    <col min="8202" max="8202" width="10.1796875" customWidth="1"/>
    <col min="8203" max="8203" width="12.7265625" customWidth="1"/>
    <col min="8204" max="8204" width="11.54296875" customWidth="1"/>
    <col min="8205" max="8205" width="12" bestFit="1" customWidth="1"/>
    <col min="8206" max="8206" width="14" customWidth="1"/>
    <col min="8207" max="8207" width="11.54296875" customWidth="1"/>
    <col min="8208" max="8208" width="12.7265625" customWidth="1"/>
    <col min="8209" max="8209" width="12.54296875" customWidth="1"/>
    <col min="8210" max="8210" width="11.26953125" customWidth="1"/>
    <col min="8211" max="8211" width="34.54296875" customWidth="1"/>
    <col min="8212" max="8212" width="11" bestFit="1" customWidth="1"/>
    <col min="8214" max="8214" width="14.26953125" customWidth="1"/>
    <col min="8217" max="8217" width="39.453125" customWidth="1"/>
    <col min="8219" max="8219" width="22.26953125" customWidth="1"/>
    <col min="8223" max="8223" width="21.26953125" customWidth="1"/>
    <col min="8227" max="8227" width="20.26953125" customWidth="1"/>
    <col min="8231" max="8231" width="34.453125" customWidth="1"/>
    <col min="8232" max="8232" width="26.54296875" customWidth="1"/>
    <col min="8233" max="8233" width="16.453125" customWidth="1"/>
    <col min="8234" max="8235" width="20.1796875" customWidth="1"/>
    <col min="8236" max="8236" width="37.1796875" customWidth="1"/>
    <col min="8237" max="8237" width="27" customWidth="1"/>
    <col min="8238" max="8238" width="12.1796875" customWidth="1"/>
    <col min="8239" max="8239" width="12.453125" bestFit="1" customWidth="1"/>
    <col min="8242" max="8242" width="34.81640625" customWidth="1"/>
    <col min="8247" max="8247" width="9.453125" customWidth="1"/>
    <col min="8453" max="8453" width="12" bestFit="1" customWidth="1"/>
    <col min="8454" max="8454" width="16.7265625" bestFit="1" customWidth="1"/>
    <col min="8455" max="8455" width="11.453125" customWidth="1"/>
    <col min="8456" max="8456" width="16.7265625" customWidth="1"/>
    <col min="8457" max="8457" width="11.453125" customWidth="1"/>
    <col min="8458" max="8458" width="10.1796875" customWidth="1"/>
    <col min="8459" max="8459" width="12.7265625" customWidth="1"/>
    <col min="8460" max="8460" width="11.54296875" customWidth="1"/>
    <col min="8461" max="8461" width="12" bestFit="1" customWidth="1"/>
    <col min="8462" max="8462" width="14" customWidth="1"/>
    <col min="8463" max="8463" width="11.54296875" customWidth="1"/>
    <col min="8464" max="8464" width="12.7265625" customWidth="1"/>
    <col min="8465" max="8465" width="12.54296875" customWidth="1"/>
    <col min="8466" max="8466" width="11.26953125" customWidth="1"/>
    <col min="8467" max="8467" width="34.54296875" customWidth="1"/>
    <col min="8468" max="8468" width="11" bestFit="1" customWidth="1"/>
    <col min="8470" max="8470" width="14.26953125" customWidth="1"/>
    <col min="8473" max="8473" width="39.453125" customWidth="1"/>
    <col min="8475" max="8475" width="22.26953125" customWidth="1"/>
    <col min="8479" max="8479" width="21.26953125" customWidth="1"/>
    <col min="8483" max="8483" width="20.26953125" customWidth="1"/>
    <col min="8487" max="8487" width="34.453125" customWidth="1"/>
    <col min="8488" max="8488" width="26.54296875" customWidth="1"/>
    <col min="8489" max="8489" width="16.453125" customWidth="1"/>
    <col min="8490" max="8491" width="20.1796875" customWidth="1"/>
    <col min="8492" max="8492" width="37.1796875" customWidth="1"/>
    <col min="8493" max="8493" width="27" customWidth="1"/>
    <col min="8494" max="8494" width="12.1796875" customWidth="1"/>
    <col min="8495" max="8495" width="12.453125" bestFit="1" customWidth="1"/>
    <col min="8498" max="8498" width="34.81640625" customWidth="1"/>
    <col min="8503" max="8503" width="9.453125" customWidth="1"/>
    <col min="8709" max="8709" width="12" bestFit="1" customWidth="1"/>
    <col min="8710" max="8710" width="16.7265625" bestFit="1" customWidth="1"/>
    <col min="8711" max="8711" width="11.453125" customWidth="1"/>
    <col min="8712" max="8712" width="16.7265625" customWidth="1"/>
    <col min="8713" max="8713" width="11.453125" customWidth="1"/>
    <col min="8714" max="8714" width="10.1796875" customWidth="1"/>
    <col min="8715" max="8715" width="12.7265625" customWidth="1"/>
    <col min="8716" max="8716" width="11.54296875" customWidth="1"/>
    <col min="8717" max="8717" width="12" bestFit="1" customWidth="1"/>
    <col min="8718" max="8718" width="14" customWidth="1"/>
    <col min="8719" max="8719" width="11.54296875" customWidth="1"/>
    <col min="8720" max="8720" width="12.7265625" customWidth="1"/>
    <col min="8721" max="8721" width="12.54296875" customWidth="1"/>
    <col min="8722" max="8722" width="11.26953125" customWidth="1"/>
    <col min="8723" max="8723" width="34.54296875" customWidth="1"/>
    <col min="8724" max="8724" width="11" bestFit="1" customWidth="1"/>
    <col min="8726" max="8726" width="14.26953125" customWidth="1"/>
    <col min="8729" max="8729" width="39.453125" customWidth="1"/>
    <col min="8731" max="8731" width="22.26953125" customWidth="1"/>
    <col min="8735" max="8735" width="21.26953125" customWidth="1"/>
    <col min="8739" max="8739" width="20.26953125" customWidth="1"/>
    <col min="8743" max="8743" width="34.453125" customWidth="1"/>
    <col min="8744" max="8744" width="26.54296875" customWidth="1"/>
    <col min="8745" max="8745" width="16.453125" customWidth="1"/>
    <col min="8746" max="8747" width="20.1796875" customWidth="1"/>
    <col min="8748" max="8748" width="37.1796875" customWidth="1"/>
    <col min="8749" max="8749" width="27" customWidth="1"/>
    <col min="8750" max="8750" width="12.1796875" customWidth="1"/>
    <col min="8751" max="8751" width="12.453125" bestFit="1" customWidth="1"/>
    <col min="8754" max="8754" width="34.81640625" customWidth="1"/>
    <col min="8759" max="8759" width="9.453125" customWidth="1"/>
    <col min="8965" max="8965" width="12" bestFit="1" customWidth="1"/>
    <col min="8966" max="8966" width="16.7265625" bestFit="1" customWidth="1"/>
    <col min="8967" max="8967" width="11.453125" customWidth="1"/>
    <col min="8968" max="8968" width="16.7265625" customWidth="1"/>
    <col min="8969" max="8969" width="11.453125" customWidth="1"/>
    <col min="8970" max="8970" width="10.1796875" customWidth="1"/>
    <col min="8971" max="8971" width="12.7265625" customWidth="1"/>
    <col min="8972" max="8972" width="11.54296875" customWidth="1"/>
    <col min="8973" max="8973" width="12" bestFit="1" customWidth="1"/>
    <col min="8974" max="8974" width="14" customWidth="1"/>
    <col min="8975" max="8975" width="11.54296875" customWidth="1"/>
    <col min="8976" max="8976" width="12.7265625" customWidth="1"/>
    <col min="8977" max="8977" width="12.54296875" customWidth="1"/>
    <col min="8978" max="8978" width="11.26953125" customWidth="1"/>
    <col min="8979" max="8979" width="34.54296875" customWidth="1"/>
    <col min="8980" max="8980" width="11" bestFit="1" customWidth="1"/>
    <col min="8982" max="8982" width="14.26953125" customWidth="1"/>
    <col min="8985" max="8985" width="39.453125" customWidth="1"/>
    <col min="8987" max="8987" width="22.26953125" customWidth="1"/>
    <col min="8991" max="8991" width="21.26953125" customWidth="1"/>
    <col min="8995" max="8995" width="20.26953125" customWidth="1"/>
    <col min="8999" max="8999" width="34.453125" customWidth="1"/>
    <col min="9000" max="9000" width="26.54296875" customWidth="1"/>
    <col min="9001" max="9001" width="16.453125" customWidth="1"/>
    <col min="9002" max="9003" width="20.1796875" customWidth="1"/>
    <col min="9004" max="9004" width="37.1796875" customWidth="1"/>
    <col min="9005" max="9005" width="27" customWidth="1"/>
    <col min="9006" max="9006" width="12.1796875" customWidth="1"/>
    <col min="9007" max="9007" width="12.453125" bestFit="1" customWidth="1"/>
    <col min="9010" max="9010" width="34.81640625" customWidth="1"/>
    <col min="9015" max="9015" width="9.453125" customWidth="1"/>
    <col min="9221" max="9221" width="12" bestFit="1" customWidth="1"/>
    <col min="9222" max="9222" width="16.7265625" bestFit="1" customWidth="1"/>
    <col min="9223" max="9223" width="11.453125" customWidth="1"/>
    <col min="9224" max="9224" width="16.7265625" customWidth="1"/>
    <col min="9225" max="9225" width="11.453125" customWidth="1"/>
    <col min="9226" max="9226" width="10.1796875" customWidth="1"/>
    <col min="9227" max="9227" width="12.7265625" customWidth="1"/>
    <col min="9228" max="9228" width="11.54296875" customWidth="1"/>
    <col min="9229" max="9229" width="12" bestFit="1" customWidth="1"/>
    <col min="9230" max="9230" width="14" customWidth="1"/>
    <col min="9231" max="9231" width="11.54296875" customWidth="1"/>
    <col min="9232" max="9232" width="12.7265625" customWidth="1"/>
    <col min="9233" max="9233" width="12.54296875" customWidth="1"/>
    <col min="9234" max="9234" width="11.26953125" customWidth="1"/>
    <col min="9235" max="9235" width="34.54296875" customWidth="1"/>
    <col min="9236" max="9236" width="11" bestFit="1" customWidth="1"/>
    <col min="9238" max="9238" width="14.26953125" customWidth="1"/>
    <col min="9241" max="9241" width="39.453125" customWidth="1"/>
    <col min="9243" max="9243" width="22.26953125" customWidth="1"/>
    <col min="9247" max="9247" width="21.26953125" customWidth="1"/>
    <col min="9251" max="9251" width="20.26953125" customWidth="1"/>
    <col min="9255" max="9255" width="34.453125" customWidth="1"/>
    <col min="9256" max="9256" width="26.54296875" customWidth="1"/>
    <col min="9257" max="9257" width="16.453125" customWidth="1"/>
    <col min="9258" max="9259" width="20.1796875" customWidth="1"/>
    <col min="9260" max="9260" width="37.1796875" customWidth="1"/>
    <col min="9261" max="9261" width="27" customWidth="1"/>
    <col min="9262" max="9262" width="12.1796875" customWidth="1"/>
    <col min="9263" max="9263" width="12.453125" bestFit="1" customWidth="1"/>
    <col min="9266" max="9266" width="34.81640625" customWidth="1"/>
    <col min="9271" max="9271" width="9.453125" customWidth="1"/>
    <col min="9477" max="9477" width="12" bestFit="1" customWidth="1"/>
    <col min="9478" max="9478" width="16.7265625" bestFit="1" customWidth="1"/>
    <col min="9479" max="9479" width="11.453125" customWidth="1"/>
    <col min="9480" max="9480" width="16.7265625" customWidth="1"/>
    <col min="9481" max="9481" width="11.453125" customWidth="1"/>
    <col min="9482" max="9482" width="10.1796875" customWidth="1"/>
    <col min="9483" max="9483" width="12.7265625" customWidth="1"/>
    <col min="9484" max="9484" width="11.54296875" customWidth="1"/>
    <col min="9485" max="9485" width="12" bestFit="1" customWidth="1"/>
    <col min="9486" max="9486" width="14" customWidth="1"/>
    <col min="9487" max="9487" width="11.54296875" customWidth="1"/>
    <col min="9488" max="9488" width="12.7265625" customWidth="1"/>
    <col min="9489" max="9489" width="12.54296875" customWidth="1"/>
    <col min="9490" max="9490" width="11.26953125" customWidth="1"/>
    <col min="9491" max="9491" width="34.54296875" customWidth="1"/>
    <col min="9492" max="9492" width="11" bestFit="1" customWidth="1"/>
    <col min="9494" max="9494" width="14.26953125" customWidth="1"/>
    <col min="9497" max="9497" width="39.453125" customWidth="1"/>
    <col min="9499" max="9499" width="22.26953125" customWidth="1"/>
    <col min="9503" max="9503" width="21.26953125" customWidth="1"/>
    <col min="9507" max="9507" width="20.26953125" customWidth="1"/>
    <col min="9511" max="9511" width="34.453125" customWidth="1"/>
    <col min="9512" max="9512" width="26.54296875" customWidth="1"/>
    <col min="9513" max="9513" width="16.453125" customWidth="1"/>
    <col min="9514" max="9515" width="20.1796875" customWidth="1"/>
    <col min="9516" max="9516" width="37.1796875" customWidth="1"/>
    <col min="9517" max="9517" width="27" customWidth="1"/>
    <col min="9518" max="9518" width="12.1796875" customWidth="1"/>
    <col min="9519" max="9519" width="12.453125" bestFit="1" customWidth="1"/>
    <col min="9522" max="9522" width="34.81640625" customWidth="1"/>
    <col min="9527" max="9527" width="9.453125" customWidth="1"/>
    <col min="9733" max="9733" width="12" bestFit="1" customWidth="1"/>
    <col min="9734" max="9734" width="16.7265625" bestFit="1" customWidth="1"/>
    <col min="9735" max="9735" width="11.453125" customWidth="1"/>
    <col min="9736" max="9736" width="16.7265625" customWidth="1"/>
    <col min="9737" max="9737" width="11.453125" customWidth="1"/>
    <col min="9738" max="9738" width="10.1796875" customWidth="1"/>
    <col min="9739" max="9739" width="12.7265625" customWidth="1"/>
    <col min="9740" max="9740" width="11.54296875" customWidth="1"/>
    <col min="9741" max="9741" width="12" bestFit="1" customWidth="1"/>
    <col min="9742" max="9742" width="14" customWidth="1"/>
    <col min="9743" max="9743" width="11.54296875" customWidth="1"/>
    <col min="9744" max="9744" width="12.7265625" customWidth="1"/>
    <col min="9745" max="9745" width="12.54296875" customWidth="1"/>
    <col min="9746" max="9746" width="11.26953125" customWidth="1"/>
    <col min="9747" max="9747" width="34.54296875" customWidth="1"/>
    <col min="9748" max="9748" width="11" bestFit="1" customWidth="1"/>
    <col min="9750" max="9750" width="14.26953125" customWidth="1"/>
    <col min="9753" max="9753" width="39.453125" customWidth="1"/>
    <col min="9755" max="9755" width="22.26953125" customWidth="1"/>
    <col min="9759" max="9759" width="21.26953125" customWidth="1"/>
    <col min="9763" max="9763" width="20.26953125" customWidth="1"/>
    <col min="9767" max="9767" width="34.453125" customWidth="1"/>
    <col min="9768" max="9768" width="26.54296875" customWidth="1"/>
    <col min="9769" max="9769" width="16.453125" customWidth="1"/>
    <col min="9770" max="9771" width="20.1796875" customWidth="1"/>
    <col min="9772" max="9772" width="37.1796875" customWidth="1"/>
    <col min="9773" max="9773" width="27" customWidth="1"/>
    <col min="9774" max="9774" width="12.1796875" customWidth="1"/>
    <col min="9775" max="9775" width="12.453125" bestFit="1" customWidth="1"/>
    <col min="9778" max="9778" width="34.81640625" customWidth="1"/>
    <col min="9783" max="9783" width="9.453125" customWidth="1"/>
    <col min="9989" max="9989" width="12" bestFit="1" customWidth="1"/>
    <col min="9990" max="9990" width="16.7265625" bestFit="1" customWidth="1"/>
    <col min="9991" max="9991" width="11.453125" customWidth="1"/>
    <col min="9992" max="9992" width="16.7265625" customWidth="1"/>
    <col min="9993" max="9993" width="11.453125" customWidth="1"/>
    <col min="9994" max="9994" width="10.1796875" customWidth="1"/>
    <col min="9995" max="9995" width="12.7265625" customWidth="1"/>
    <col min="9996" max="9996" width="11.54296875" customWidth="1"/>
    <col min="9997" max="9997" width="12" bestFit="1" customWidth="1"/>
    <col min="9998" max="9998" width="14" customWidth="1"/>
    <col min="9999" max="9999" width="11.54296875" customWidth="1"/>
    <col min="10000" max="10000" width="12.7265625" customWidth="1"/>
    <col min="10001" max="10001" width="12.54296875" customWidth="1"/>
    <col min="10002" max="10002" width="11.26953125" customWidth="1"/>
    <col min="10003" max="10003" width="34.54296875" customWidth="1"/>
    <col min="10004" max="10004" width="11" bestFit="1" customWidth="1"/>
    <col min="10006" max="10006" width="14.26953125" customWidth="1"/>
    <col min="10009" max="10009" width="39.453125" customWidth="1"/>
    <col min="10011" max="10011" width="22.26953125" customWidth="1"/>
    <col min="10015" max="10015" width="21.26953125" customWidth="1"/>
    <col min="10019" max="10019" width="20.26953125" customWidth="1"/>
    <col min="10023" max="10023" width="34.453125" customWidth="1"/>
    <col min="10024" max="10024" width="26.54296875" customWidth="1"/>
    <col min="10025" max="10025" width="16.453125" customWidth="1"/>
    <col min="10026" max="10027" width="20.1796875" customWidth="1"/>
    <col min="10028" max="10028" width="37.1796875" customWidth="1"/>
    <col min="10029" max="10029" width="27" customWidth="1"/>
    <col min="10030" max="10030" width="12.1796875" customWidth="1"/>
    <col min="10031" max="10031" width="12.453125" bestFit="1" customWidth="1"/>
    <col min="10034" max="10034" width="34.81640625" customWidth="1"/>
    <col min="10039" max="10039" width="9.453125" customWidth="1"/>
    <col min="10245" max="10245" width="12" bestFit="1" customWidth="1"/>
    <col min="10246" max="10246" width="16.7265625" bestFit="1" customWidth="1"/>
    <col min="10247" max="10247" width="11.453125" customWidth="1"/>
    <col min="10248" max="10248" width="16.7265625" customWidth="1"/>
    <col min="10249" max="10249" width="11.453125" customWidth="1"/>
    <col min="10250" max="10250" width="10.1796875" customWidth="1"/>
    <col min="10251" max="10251" width="12.7265625" customWidth="1"/>
    <col min="10252" max="10252" width="11.54296875" customWidth="1"/>
    <col min="10253" max="10253" width="12" bestFit="1" customWidth="1"/>
    <col min="10254" max="10254" width="14" customWidth="1"/>
    <col min="10255" max="10255" width="11.54296875" customWidth="1"/>
    <col min="10256" max="10256" width="12.7265625" customWidth="1"/>
    <col min="10257" max="10257" width="12.54296875" customWidth="1"/>
    <col min="10258" max="10258" width="11.26953125" customWidth="1"/>
    <col min="10259" max="10259" width="34.54296875" customWidth="1"/>
    <col min="10260" max="10260" width="11" bestFit="1" customWidth="1"/>
    <col min="10262" max="10262" width="14.26953125" customWidth="1"/>
    <col min="10265" max="10265" width="39.453125" customWidth="1"/>
    <col min="10267" max="10267" width="22.26953125" customWidth="1"/>
    <col min="10271" max="10271" width="21.26953125" customWidth="1"/>
    <col min="10275" max="10275" width="20.26953125" customWidth="1"/>
    <col min="10279" max="10279" width="34.453125" customWidth="1"/>
    <col min="10280" max="10280" width="26.54296875" customWidth="1"/>
    <col min="10281" max="10281" width="16.453125" customWidth="1"/>
    <col min="10282" max="10283" width="20.1796875" customWidth="1"/>
    <col min="10284" max="10284" width="37.1796875" customWidth="1"/>
    <col min="10285" max="10285" width="27" customWidth="1"/>
    <col min="10286" max="10286" width="12.1796875" customWidth="1"/>
    <col min="10287" max="10287" width="12.453125" bestFit="1" customWidth="1"/>
    <col min="10290" max="10290" width="34.81640625" customWidth="1"/>
    <col min="10295" max="10295" width="9.453125" customWidth="1"/>
    <col min="10501" max="10501" width="12" bestFit="1" customWidth="1"/>
    <col min="10502" max="10502" width="16.7265625" bestFit="1" customWidth="1"/>
    <col min="10503" max="10503" width="11.453125" customWidth="1"/>
    <col min="10504" max="10504" width="16.7265625" customWidth="1"/>
    <col min="10505" max="10505" width="11.453125" customWidth="1"/>
    <col min="10506" max="10506" width="10.1796875" customWidth="1"/>
    <col min="10507" max="10507" width="12.7265625" customWidth="1"/>
    <col min="10508" max="10508" width="11.54296875" customWidth="1"/>
    <col min="10509" max="10509" width="12" bestFit="1" customWidth="1"/>
    <col min="10510" max="10510" width="14" customWidth="1"/>
    <col min="10511" max="10511" width="11.54296875" customWidth="1"/>
    <col min="10512" max="10512" width="12.7265625" customWidth="1"/>
    <col min="10513" max="10513" width="12.54296875" customWidth="1"/>
    <col min="10514" max="10514" width="11.26953125" customWidth="1"/>
    <col min="10515" max="10515" width="34.54296875" customWidth="1"/>
    <col min="10516" max="10516" width="11" bestFit="1" customWidth="1"/>
    <col min="10518" max="10518" width="14.26953125" customWidth="1"/>
    <col min="10521" max="10521" width="39.453125" customWidth="1"/>
    <col min="10523" max="10523" width="22.26953125" customWidth="1"/>
    <col min="10527" max="10527" width="21.26953125" customWidth="1"/>
    <col min="10531" max="10531" width="20.26953125" customWidth="1"/>
    <col min="10535" max="10535" width="34.453125" customWidth="1"/>
    <col min="10536" max="10536" width="26.54296875" customWidth="1"/>
    <col min="10537" max="10537" width="16.453125" customWidth="1"/>
    <col min="10538" max="10539" width="20.1796875" customWidth="1"/>
    <col min="10540" max="10540" width="37.1796875" customWidth="1"/>
    <col min="10541" max="10541" width="27" customWidth="1"/>
    <col min="10542" max="10542" width="12.1796875" customWidth="1"/>
    <col min="10543" max="10543" width="12.453125" bestFit="1" customWidth="1"/>
    <col min="10546" max="10546" width="34.81640625" customWidth="1"/>
    <col min="10551" max="10551" width="9.453125" customWidth="1"/>
    <col min="10757" max="10757" width="12" bestFit="1" customWidth="1"/>
    <col min="10758" max="10758" width="16.7265625" bestFit="1" customWidth="1"/>
    <col min="10759" max="10759" width="11.453125" customWidth="1"/>
    <col min="10760" max="10760" width="16.7265625" customWidth="1"/>
    <col min="10761" max="10761" width="11.453125" customWidth="1"/>
    <col min="10762" max="10762" width="10.1796875" customWidth="1"/>
    <col min="10763" max="10763" width="12.7265625" customWidth="1"/>
    <col min="10764" max="10764" width="11.54296875" customWidth="1"/>
    <col min="10765" max="10765" width="12" bestFit="1" customWidth="1"/>
    <col min="10766" max="10766" width="14" customWidth="1"/>
    <col min="10767" max="10767" width="11.54296875" customWidth="1"/>
    <col min="10768" max="10768" width="12.7265625" customWidth="1"/>
    <col min="10769" max="10769" width="12.54296875" customWidth="1"/>
    <col min="10770" max="10770" width="11.26953125" customWidth="1"/>
    <col min="10771" max="10771" width="34.54296875" customWidth="1"/>
    <col min="10772" max="10772" width="11" bestFit="1" customWidth="1"/>
    <col min="10774" max="10774" width="14.26953125" customWidth="1"/>
    <col min="10777" max="10777" width="39.453125" customWidth="1"/>
    <col min="10779" max="10779" width="22.26953125" customWidth="1"/>
    <col min="10783" max="10783" width="21.26953125" customWidth="1"/>
    <col min="10787" max="10787" width="20.26953125" customWidth="1"/>
    <col min="10791" max="10791" width="34.453125" customWidth="1"/>
    <col min="10792" max="10792" width="26.54296875" customWidth="1"/>
    <col min="10793" max="10793" width="16.453125" customWidth="1"/>
    <col min="10794" max="10795" width="20.1796875" customWidth="1"/>
    <col min="10796" max="10796" width="37.1796875" customWidth="1"/>
    <col min="10797" max="10797" width="27" customWidth="1"/>
    <col min="10798" max="10798" width="12.1796875" customWidth="1"/>
    <col min="10799" max="10799" width="12.453125" bestFit="1" customWidth="1"/>
    <col min="10802" max="10802" width="34.81640625" customWidth="1"/>
    <col min="10807" max="10807" width="9.453125" customWidth="1"/>
    <col min="11013" max="11013" width="12" bestFit="1" customWidth="1"/>
    <col min="11014" max="11014" width="16.7265625" bestFit="1" customWidth="1"/>
    <col min="11015" max="11015" width="11.453125" customWidth="1"/>
    <col min="11016" max="11016" width="16.7265625" customWidth="1"/>
    <col min="11017" max="11017" width="11.453125" customWidth="1"/>
    <col min="11018" max="11018" width="10.1796875" customWidth="1"/>
    <col min="11019" max="11019" width="12.7265625" customWidth="1"/>
    <col min="11020" max="11020" width="11.54296875" customWidth="1"/>
    <col min="11021" max="11021" width="12" bestFit="1" customWidth="1"/>
    <col min="11022" max="11022" width="14" customWidth="1"/>
    <col min="11023" max="11023" width="11.54296875" customWidth="1"/>
    <col min="11024" max="11024" width="12.7265625" customWidth="1"/>
    <col min="11025" max="11025" width="12.54296875" customWidth="1"/>
    <col min="11026" max="11026" width="11.26953125" customWidth="1"/>
    <col min="11027" max="11027" width="34.54296875" customWidth="1"/>
    <col min="11028" max="11028" width="11" bestFit="1" customWidth="1"/>
    <col min="11030" max="11030" width="14.26953125" customWidth="1"/>
    <col min="11033" max="11033" width="39.453125" customWidth="1"/>
    <col min="11035" max="11035" width="22.26953125" customWidth="1"/>
    <col min="11039" max="11039" width="21.26953125" customWidth="1"/>
    <col min="11043" max="11043" width="20.26953125" customWidth="1"/>
    <col min="11047" max="11047" width="34.453125" customWidth="1"/>
    <col min="11048" max="11048" width="26.54296875" customWidth="1"/>
    <col min="11049" max="11049" width="16.453125" customWidth="1"/>
    <col min="11050" max="11051" width="20.1796875" customWidth="1"/>
    <col min="11052" max="11052" width="37.1796875" customWidth="1"/>
    <col min="11053" max="11053" width="27" customWidth="1"/>
    <col min="11054" max="11054" width="12.1796875" customWidth="1"/>
    <col min="11055" max="11055" width="12.453125" bestFit="1" customWidth="1"/>
    <col min="11058" max="11058" width="34.81640625" customWidth="1"/>
    <col min="11063" max="11063" width="9.453125" customWidth="1"/>
    <col min="11269" max="11269" width="12" bestFit="1" customWidth="1"/>
    <col min="11270" max="11270" width="16.7265625" bestFit="1" customWidth="1"/>
    <col min="11271" max="11271" width="11.453125" customWidth="1"/>
    <col min="11272" max="11272" width="16.7265625" customWidth="1"/>
    <col min="11273" max="11273" width="11.453125" customWidth="1"/>
    <col min="11274" max="11274" width="10.1796875" customWidth="1"/>
    <col min="11275" max="11275" width="12.7265625" customWidth="1"/>
    <col min="11276" max="11276" width="11.54296875" customWidth="1"/>
    <col min="11277" max="11277" width="12" bestFit="1" customWidth="1"/>
    <col min="11278" max="11278" width="14" customWidth="1"/>
    <col min="11279" max="11279" width="11.54296875" customWidth="1"/>
    <col min="11280" max="11280" width="12.7265625" customWidth="1"/>
    <col min="11281" max="11281" width="12.54296875" customWidth="1"/>
    <col min="11282" max="11282" width="11.26953125" customWidth="1"/>
    <col min="11283" max="11283" width="34.54296875" customWidth="1"/>
    <col min="11284" max="11284" width="11" bestFit="1" customWidth="1"/>
    <col min="11286" max="11286" width="14.26953125" customWidth="1"/>
    <col min="11289" max="11289" width="39.453125" customWidth="1"/>
    <col min="11291" max="11291" width="22.26953125" customWidth="1"/>
    <col min="11295" max="11295" width="21.26953125" customWidth="1"/>
    <col min="11299" max="11299" width="20.26953125" customWidth="1"/>
    <col min="11303" max="11303" width="34.453125" customWidth="1"/>
    <col min="11304" max="11304" width="26.54296875" customWidth="1"/>
    <col min="11305" max="11305" width="16.453125" customWidth="1"/>
    <col min="11306" max="11307" width="20.1796875" customWidth="1"/>
    <col min="11308" max="11308" width="37.1796875" customWidth="1"/>
    <col min="11309" max="11309" width="27" customWidth="1"/>
    <col min="11310" max="11310" width="12.1796875" customWidth="1"/>
    <col min="11311" max="11311" width="12.453125" bestFit="1" customWidth="1"/>
    <col min="11314" max="11314" width="34.81640625" customWidth="1"/>
    <col min="11319" max="11319" width="9.453125" customWidth="1"/>
    <col min="11525" max="11525" width="12" bestFit="1" customWidth="1"/>
    <col min="11526" max="11526" width="16.7265625" bestFit="1" customWidth="1"/>
    <col min="11527" max="11527" width="11.453125" customWidth="1"/>
    <col min="11528" max="11528" width="16.7265625" customWidth="1"/>
    <col min="11529" max="11529" width="11.453125" customWidth="1"/>
    <col min="11530" max="11530" width="10.1796875" customWidth="1"/>
    <col min="11531" max="11531" width="12.7265625" customWidth="1"/>
    <col min="11532" max="11532" width="11.54296875" customWidth="1"/>
    <col min="11533" max="11533" width="12" bestFit="1" customWidth="1"/>
    <col min="11534" max="11534" width="14" customWidth="1"/>
    <col min="11535" max="11535" width="11.54296875" customWidth="1"/>
    <col min="11536" max="11536" width="12.7265625" customWidth="1"/>
    <col min="11537" max="11537" width="12.54296875" customWidth="1"/>
    <col min="11538" max="11538" width="11.26953125" customWidth="1"/>
    <col min="11539" max="11539" width="34.54296875" customWidth="1"/>
    <col min="11540" max="11540" width="11" bestFit="1" customWidth="1"/>
    <col min="11542" max="11542" width="14.26953125" customWidth="1"/>
    <col min="11545" max="11545" width="39.453125" customWidth="1"/>
    <col min="11547" max="11547" width="22.26953125" customWidth="1"/>
    <col min="11551" max="11551" width="21.26953125" customWidth="1"/>
    <col min="11555" max="11555" width="20.26953125" customWidth="1"/>
    <col min="11559" max="11559" width="34.453125" customWidth="1"/>
    <col min="11560" max="11560" width="26.54296875" customWidth="1"/>
    <col min="11561" max="11561" width="16.453125" customWidth="1"/>
    <col min="11562" max="11563" width="20.1796875" customWidth="1"/>
    <col min="11564" max="11564" width="37.1796875" customWidth="1"/>
    <col min="11565" max="11565" width="27" customWidth="1"/>
    <col min="11566" max="11566" width="12.1796875" customWidth="1"/>
    <col min="11567" max="11567" width="12.453125" bestFit="1" customWidth="1"/>
    <col min="11570" max="11570" width="34.81640625" customWidth="1"/>
    <col min="11575" max="11575" width="9.453125" customWidth="1"/>
    <col min="11781" max="11781" width="12" bestFit="1" customWidth="1"/>
    <col min="11782" max="11782" width="16.7265625" bestFit="1" customWidth="1"/>
    <col min="11783" max="11783" width="11.453125" customWidth="1"/>
    <col min="11784" max="11784" width="16.7265625" customWidth="1"/>
    <col min="11785" max="11785" width="11.453125" customWidth="1"/>
    <col min="11786" max="11786" width="10.1796875" customWidth="1"/>
    <col min="11787" max="11787" width="12.7265625" customWidth="1"/>
    <col min="11788" max="11788" width="11.54296875" customWidth="1"/>
    <col min="11789" max="11789" width="12" bestFit="1" customWidth="1"/>
    <col min="11790" max="11790" width="14" customWidth="1"/>
    <col min="11791" max="11791" width="11.54296875" customWidth="1"/>
    <col min="11792" max="11792" width="12.7265625" customWidth="1"/>
    <col min="11793" max="11793" width="12.54296875" customWidth="1"/>
    <col min="11794" max="11794" width="11.26953125" customWidth="1"/>
    <col min="11795" max="11795" width="34.54296875" customWidth="1"/>
    <col min="11796" max="11796" width="11" bestFit="1" customWidth="1"/>
    <col min="11798" max="11798" width="14.26953125" customWidth="1"/>
    <col min="11801" max="11801" width="39.453125" customWidth="1"/>
    <col min="11803" max="11803" width="22.26953125" customWidth="1"/>
    <col min="11807" max="11807" width="21.26953125" customWidth="1"/>
    <col min="11811" max="11811" width="20.26953125" customWidth="1"/>
    <col min="11815" max="11815" width="34.453125" customWidth="1"/>
    <col min="11816" max="11816" width="26.54296875" customWidth="1"/>
    <col min="11817" max="11817" width="16.453125" customWidth="1"/>
    <col min="11818" max="11819" width="20.1796875" customWidth="1"/>
    <col min="11820" max="11820" width="37.1796875" customWidth="1"/>
    <col min="11821" max="11821" width="27" customWidth="1"/>
    <col min="11822" max="11822" width="12.1796875" customWidth="1"/>
    <col min="11823" max="11823" width="12.453125" bestFit="1" customWidth="1"/>
    <col min="11826" max="11826" width="34.81640625" customWidth="1"/>
    <col min="11831" max="11831" width="9.453125" customWidth="1"/>
    <col min="12037" max="12037" width="12" bestFit="1" customWidth="1"/>
    <col min="12038" max="12038" width="16.7265625" bestFit="1" customWidth="1"/>
    <col min="12039" max="12039" width="11.453125" customWidth="1"/>
    <col min="12040" max="12040" width="16.7265625" customWidth="1"/>
    <col min="12041" max="12041" width="11.453125" customWidth="1"/>
    <col min="12042" max="12042" width="10.1796875" customWidth="1"/>
    <col min="12043" max="12043" width="12.7265625" customWidth="1"/>
    <col min="12044" max="12044" width="11.54296875" customWidth="1"/>
    <col min="12045" max="12045" width="12" bestFit="1" customWidth="1"/>
    <col min="12046" max="12046" width="14" customWidth="1"/>
    <col min="12047" max="12047" width="11.54296875" customWidth="1"/>
    <col min="12048" max="12048" width="12.7265625" customWidth="1"/>
    <col min="12049" max="12049" width="12.54296875" customWidth="1"/>
    <col min="12050" max="12050" width="11.26953125" customWidth="1"/>
    <col min="12051" max="12051" width="34.54296875" customWidth="1"/>
    <col min="12052" max="12052" width="11" bestFit="1" customWidth="1"/>
    <col min="12054" max="12054" width="14.26953125" customWidth="1"/>
    <col min="12057" max="12057" width="39.453125" customWidth="1"/>
    <col min="12059" max="12059" width="22.26953125" customWidth="1"/>
    <col min="12063" max="12063" width="21.26953125" customWidth="1"/>
    <col min="12067" max="12067" width="20.26953125" customWidth="1"/>
    <col min="12071" max="12071" width="34.453125" customWidth="1"/>
    <col min="12072" max="12072" width="26.54296875" customWidth="1"/>
    <col min="12073" max="12073" width="16.453125" customWidth="1"/>
    <col min="12074" max="12075" width="20.1796875" customWidth="1"/>
    <col min="12076" max="12076" width="37.1796875" customWidth="1"/>
    <col min="12077" max="12077" width="27" customWidth="1"/>
    <col min="12078" max="12078" width="12.1796875" customWidth="1"/>
    <col min="12079" max="12079" width="12.453125" bestFit="1" customWidth="1"/>
    <col min="12082" max="12082" width="34.81640625" customWidth="1"/>
    <col min="12087" max="12087" width="9.453125" customWidth="1"/>
    <col min="12293" max="12293" width="12" bestFit="1" customWidth="1"/>
    <col min="12294" max="12294" width="16.7265625" bestFit="1" customWidth="1"/>
    <col min="12295" max="12295" width="11.453125" customWidth="1"/>
    <col min="12296" max="12296" width="16.7265625" customWidth="1"/>
    <col min="12297" max="12297" width="11.453125" customWidth="1"/>
    <col min="12298" max="12298" width="10.1796875" customWidth="1"/>
    <col min="12299" max="12299" width="12.7265625" customWidth="1"/>
    <col min="12300" max="12300" width="11.54296875" customWidth="1"/>
    <col min="12301" max="12301" width="12" bestFit="1" customWidth="1"/>
    <col min="12302" max="12302" width="14" customWidth="1"/>
    <col min="12303" max="12303" width="11.54296875" customWidth="1"/>
    <col min="12304" max="12304" width="12.7265625" customWidth="1"/>
    <col min="12305" max="12305" width="12.54296875" customWidth="1"/>
    <col min="12306" max="12306" width="11.26953125" customWidth="1"/>
    <col min="12307" max="12307" width="34.54296875" customWidth="1"/>
    <col min="12308" max="12308" width="11" bestFit="1" customWidth="1"/>
    <col min="12310" max="12310" width="14.26953125" customWidth="1"/>
    <col min="12313" max="12313" width="39.453125" customWidth="1"/>
    <col min="12315" max="12315" width="22.26953125" customWidth="1"/>
    <col min="12319" max="12319" width="21.26953125" customWidth="1"/>
    <col min="12323" max="12323" width="20.26953125" customWidth="1"/>
    <col min="12327" max="12327" width="34.453125" customWidth="1"/>
    <col min="12328" max="12328" width="26.54296875" customWidth="1"/>
    <col min="12329" max="12329" width="16.453125" customWidth="1"/>
    <col min="12330" max="12331" width="20.1796875" customWidth="1"/>
    <col min="12332" max="12332" width="37.1796875" customWidth="1"/>
    <col min="12333" max="12333" width="27" customWidth="1"/>
    <col min="12334" max="12334" width="12.1796875" customWidth="1"/>
    <col min="12335" max="12335" width="12.453125" bestFit="1" customWidth="1"/>
    <col min="12338" max="12338" width="34.81640625" customWidth="1"/>
    <col min="12343" max="12343" width="9.453125" customWidth="1"/>
    <col min="12549" max="12549" width="12" bestFit="1" customWidth="1"/>
    <col min="12550" max="12550" width="16.7265625" bestFit="1" customWidth="1"/>
    <col min="12551" max="12551" width="11.453125" customWidth="1"/>
    <col min="12552" max="12552" width="16.7265625" customWidth="1"/>
    <col min="12553" max="12553" width="11.453125" customWidth="1"/>
    <col min="12554" max="12554" width="10.1796875" customWidth="1"/>
    <col min="12555" max="12555" width="12.7265625" customWidth="1"/>
    <col min="12556" max="12556" width="11.54296875" customWidth="1"/>
    <col min="12557" max="12557" width="12" bestFit="1" customWidth="1"/>
    <col min="12558" max="12558" width="14" customWidth="1"/>
    <col min="12559" max="12559" width="11.54296875" customWidth="1"/>
    <col min="12560" max="12560" width="12.7265625" customWidth="1"/>
    <col min="12561" max="12561" width="12.54296875" customWidth="1"/>
    <col min="12562" max="12562" width="11.26953125" customWidth="1"/>
    <col min="12563" max="12563" width="34.54296875" customWidth="1"/>
    <col min="12564" max="12564" width="11" bestFit="1" customWidth="1"/>
    <col min="12566" max="12566" width="14.26953125" customWidth="1"/>
    <col min="12569" max="12569" width="39.453125" customWidth="1"/>
    <col min="12571" max="12571" width="22.26953125" customWidth="1"/>
    <col min="12575" max="12575" width="21.26953125" customWidth="1"/>
    <col min="12579" max="12579" width="20.26953125" customWidth="1"/>
    <col min="12583" max="12583" width="34.453125" customWidth="1"/>
    <col min="12584" max="12584" width="26.54296875" customWidth="1"/>
    <col min="12585" max="12585" width="16.453125" customWidth="1"/>
    <col min="12586" max="12587" width="20.1796875" customWidth="1"/>
    <col min="12588" max="12588" width="37.1796875" customWidth="1"/>
    <col min="12589" max="12589" width="27" customWidth="1"/>
    <col min="12590" max="12590" width="12.1796875" customWidth="1"/>
    <col min="12591" max="12591" width="12.453125" bestFit="1" customWidth="1"/>
    <col min="12594" max="12594" width="34.81640625" customWidth="1"/>
    <col min="12599" max="12599" width="9.453125" customWidth="1"/>
    <col min="12805" max="12805" width="12" bestFit="1" customWidth="1"/>
    <col min="12806" max="12806" width="16.7265625" bestFit="1" customWidth="1"/>
    <col min="12807" max="12807" width="11.453125" customWidth="1"/>
    <col min="12808" max="12808" width="16.7265625" customWidth="1"/>
    <col min="12809" max="12809" width="11.453125" customWidth="1"/>
    <col min="12810" max="12810" width="10.1796875" customWidth="1"/>
    <col min="12811" max="12811" width="12.7265625" customWidth="1"/>
    <col min="12812" max="12812" width="11.54296875" customWidth="1"/>
    <col min="12813" max="12813" width="12" bestFit="1" customWidth="1"/>
    <col min="12814" max="12814" width="14" customWidth="1"/>
    <col min="12815" max="12815" width="11.54296875" customWidth="1"/>
    <col min="12816" max="12816" width="12.7265625" customWidth="1"/>
    <col min="12817" max="12817" width="12.54296875" customWidth="1"/>
    <col min="12818" max="12818" width="11.26953125" customWidth="1"/>
    <col min="12819" max="12819" width="34.54296875" customWidth="1"/>
    <col min="12820" max="12820" width="11" bestFit="1" customWidth="1"/>
    <col min="12822" max="12822" width="14.26953125" customWidth="1"/>
    <col min="12825" max="12825" width="39.453125" customWidth="1"/>
    <col min="12827" max="12827" width="22.26953125" customWidth="1"/>
    <col min="12831" max="12831" width="21.26953125" customWidth="1"/>
    <col min="12835" max="12835" width="20.26953125" customWidth="1"/>
    <col min="12839" max="12839" width="34.453125" customWidth="1"/>
    <col min="12840" max="12840" width="26.54296875" customWidth="1"/>
    <col min="12841" max="12841" width="16.453125" customWidth="1"/>
    <col min="12842" max="12843" width="20.1796875" customWidth="1"/>
    <col min="12844" max="12844" width="37.1796875" customWidth="1"/>
    <col min="12845" max="12845" width="27" customWidth="1"/>
    <col min="12846" max="12846" width="12.1796875" customWidth="1"/>
    <col min="12847" max="12847" width="12.453125" bestFit="1" customWidth="1"/>
    <col min="12850" max="12850" width="34.81640625" customWidth="1"/>
    <col min="12855" max="12855" width="9.453125" customWidth="1"/>
    <col min="13061" max="13061" width="12" bestFit="1" customWidth="1"/>
    <col min="13062" max="13062" width="16.7265625" bestFit="1" customWidth="1"/>
    <col min="13063" max="13063" width="11.453125" customWidth="1"/>
    <col min="13064" max="13064" width="16.7265625" customWidth="1"/>
    <col min="13065" max="13065" width="11.453125" customWidth="1"/>
    <col min="13066" max="13066" width="10.1796875" customWidth="1"/>
    <col min="13067" max="13067" width="12.7265625" customWidth="1"/>
    <col min="13068" max="13068" width="11.54296875" customWidth="1"/>
    <col min="13069" max="13069" width="12" bestFit="1" customWidth="1"/>
    <col min="13070" max="13070" width="14" customWidth="1"/>
    <col min="13071" max="13071" width="11.54296875" customWidth="1"/>
    <col min="13072" max="13072" width="12.7265625" customWidth="1"/>
    <col min="13073" max="13073" width="12.54296875" customWidth="1"/>
    <col min="13074" max="13074" width="11.26953125" customWidth="1"/>
    <col min="13075" max="13075" width="34.54296875" customWidth="1"/>
    <col min="13076" max="13076" width="11" bestFit="1" customWidth="1"/>
    <col min="13078" max="13078" width="14.26953125" customWidth="1"/>
    <col min="13081" max="13081" width="39.453125" customWidth="1"/>
    <col min="13083" max="13083" width="22.26953125" customWidth="1"/>
    <col min="13087" max="13087" width="21.26953125" customWidth="1"/>
    <col min="13091" max="13091" width="20.26953125" customWidth="1"/>
    <col min="13095" max="13095" width="34.453125" customWidth="1"/>
    <col min="13096" max="13096" width="26.54296875" customWidth="1"/>
    <col min="13097" max="13097" width="16.453125" customWidth="1"/>
    <col min="13098" max="13099" width="20.1796875" customWidth="1"/>
    <col min="13100" max="13100" width="37.1796875" customWidth="1"/>
    <col min="13101" max="13101" width="27" customWidth="1"/>
    <col min="13102" max="13102" width="12.1796875" customWidth="1"/>
    <col min="13103" max="13103" width="12.453125" bestFit="1" customWidth="1"/>
    <col min="13106" max="13106" width="34.81640625" customWidth="1"/>
    <col min="13111" max="13111" width="9.453125" customWidth="1"/>
    <col min="13317" max="13317" width="12" bestFit="1" customWidth="1"/>
    <col min="13318" max="13318" width="16.7265625" bestFit="1" customWidth="1"/>
    <col min="13319" max="13319" width="11.453125" customWidth="1"/>
    <col min="13320" max="13320" width="16.7265625" customWidth="1"/>
    <col min="13321" max="13321" width="11.453125" customWidth="1"/>
    <col min="13322" max="13322" width="10.1796875" customWidth="1"/>
    <col min="13323" max="13323" width="12.7265625" customWidth="1"/>
    <col min="13324" max="13324" width="11.54296875" customWidth="1"/>
    <col min="13325" max="13325" width="12" bestFit="1" customWidth="1"/>
    <col min="13326" max="13326" width="14" customWidth="1"/>
    <col min="13327" max="13327" width="11.54296875" customWidth="1"/>
    <col min="13328" max="13328" width="12.7265625" customWidth="1"/>
    <col min="13329" max="13329" width="12.54296875" customWidth="1"/>
    <col min="13330" max="13330" width="11.26953125" customWidth="1"/>
    <col min="13331" max="13331" width="34.54296875" customWidth="1"/>
    <col min="13332" max="13332" width="11" bestFit="1" customWidth="1"/>
    <col min="13334" max="13334" width="14.26953125" customWidth="1"/>
    <col min="13337" max="13337" width="39.453125" customWidth="1"/>
    <col min="13339" max="13339" width="22.26953125" customWidth="1"/>
    <col min="13343" max="13343" width="21.26953125" customWidth="1"/>
    <col min="13347" max="13347" width="20.26953125" customWidth="1"/>
    <col min="13351" max="13351" width="34.453125" customWidth="1"/>
    <col min="13352" max="13352" width="26.54296875" customWidth="1"/>
    <col min="13353" max="13353" width="16.453125" customWidth="1"/>
    <col min="13354" max="13355" width="20.1796875" customWidth="1"/>
    <col min="13356" max="13356" width="37.1796875" customWidth="1"/>
    <col min="13357" max="13357" width="27" customWidth="1"/>
    <col min="13358" max="13358" width="12.1796875" customWidth="1"/>
    <col min="13359" max="13359" width="12.453125" bestFit="1" customWidth="1"/>
    <col min="13362" max="13362" width="34.81640625" customWidth="1"/>
    <col min="13367" max="13367" width="9.453125" customWidth="1"/>
    <col min="13573" max="13573" width="12" bestFit="1" customWidth="1"/>
    <col min="13574" max="13574" width="16.7265625" bestFit="1" customWidth="1"/>
    <col min="13575" max="13575" width="11.453125" customWidth="1"/>
    <col min="13576" max="13576" width="16.7265625" customWidth="1"/>
    <col min="13577" max="13577" width="11.453125" customWidth="1"/>
    <col min="13578" max="13578" width="10.1796875" customWidth="1"/>
    <col min="13579" max="13579" width="12.7265625" customWidth="1"/>
    <col min="13580" max="13580" width="11.54296875" customWidth="1"/>
    <col min="13581" max="13581" width="12" bestFit="1" customWidth="1"/>
    <col min="13582" max="13582" width="14" customWidth="1"/>
    <col min="13583" max="13583" width="11.54296875" customWidth="1"/>
    <col min="13584" max="13584" width="12.7265625" customWidth="1"/>
    <col min="13585" max="13585" width="12.54296875" customWidth="1"/>
    <col min="13586" max="13586" width="11.26953125" customWidth="1"/>
    <col min="13587" max="13587" width="34.54296875" customWidth="1"/>
    <col min="13588" max="13588" width="11" bestFit="1" customWidth="1"/>
    <col min="13590" max="13590" width="14.26953125" customWidth="1"/>
    <col min="13593" max="13593" width="39.453125" customWidth="1"/>
    <col min="13595" max="13595" width="22.26953125" customWidth="1"/>
    <col min="13599" max="13599" width="21.26953125" customWidth="1"/>
    <col min="13603" max="13603" width="20.26953125" customWidth="1"/>
    <col min="13607" max="13607" width="34.453125" customWidth="1"/>
    <col min="13608" max="13608" width="26.54296875" customWidth="1"/>
    <col min="13609" max="13609" width="16.453125" customWidth="1"/>
    <col min="13610" max="13611" width="20.1796875" customWidth="1"/>
    <col min="13612" max="13612" width="37.1796875" customWidth="1"/>
    <col min="13613" max="13613" width="27" customWidth="1"/>
    <col min="13614" max="13614" width="12.1796875" customWidth="1"/>
    <col min="13615" max="13615" width="12.453125" bestFit="1" customWidth="1"/>
    <col min="13618" max="13618" width="34.81640625" customWidth="1"/>
    <col min="13623" max="13623" width="9.453125" customWidth="1"/>
    <col min="13829" max="13829" width="12" bestFit="1" customWidth="1"/>
    <col min="13830" max="13830" width="16.7265625" bestFit="1" customWidth="1"/>
    <col min="13831" max="13831" width="11.453125" customWidth="1"/>
    <col min="13832" max="13832" width="16.7265625" customWidth="1"/>
    <col min="13833" max="13833" width="11.453125" customWidth="1"/>
    <col min="13834" max="13834" width="10.1796875" customWidth="1"/>
    <col min="13835" max="13835" width="12.7265625" customWidth="1"/>
    <col min="13836" max="13836" width="11.54296875" customWidth="1"/>
    <col min="13837" max="13837" width="12" bestFit="1" customWidth="1"/>
    <col min="13838" max="13838" width="14" customWidth="1"/>
    <col min="13839" max="13839" width="11.54296875" customWidth="1"/>
    <col min="13840" max="13840" width="12.7265625" customWidth="1"/>
    <col min="13841" max="13841" width="12.54296875" customWidth="1"/>
    <col min="13842" max="13842" width="11.26953125" customWidth="1"/>
    <col min="13843" max="13843" width="34.54296875" customWidth="1"/>
    <col min="13844" max="13844" width="11" bestFit="1" customWidth="1"/>
    <col min="13846" max="13846" width="14.26953125" customWidth="1"/>
    <col min="13849" max="13849" width="39.453125" customWidth="1"/>
    <col min="13851" max="13851" width="22.26953125" customWidth="1"/>
    <col min="13855" max="13855" width="21.26953125" customWidth="1"/>
    <col min="13859" max="13859" width="20.26953125" customWidth="1"/>
    <col min="13863" max="13863" width="34.453125" customWidth="1"/>
    <col min="13864" max="13864" width="26.54296875" customWidth="1"/>
    <col min="13865" max="13865" width="16.453125" customWidth="1"/>
    <col min="13866" max="13867" width="20.1796875" customWidth="1"/>
    <col min="13868" max="13868" width="37.1796875" customWidth="1"/>
    <col min="13869" max="13869" width="27" customWidth="1"/>
    <col min="13870" max="13870" width="12.1796875" customWidth="1"/>
    <col min="13871" max="13871" width="12.453125" bestFit="1" customWidth="1"/>
    <col min="13874" max="13874" width="34.81640625" customWidth="1"/>
    <col min="13879" max="13879" width="9.453125" customWidth="1"/>
    <col min="14085" max="14085" width="12" bestFit="1" customWidth="1"/>
    <col min="14086" max="14086" width="16.7265625" bestFit="1" customWidth="1"/>
    <col min="14087" max="14087" width="11.453125" customWidth="1"/>
    <col min="14088" max="14088" width="16.7265625" customWidth="1"/>
    <col min="14089" max="14089" width="11.453125" customWidth="1"/>
    <col min="14090" max="14090" width="10.1796875" customWidth="1"/>
    <col min="14091" max="14091" width="12.7265625" customWidth="1"/>
    <col min="14092" max="14092" width="11.54296875" customWidth="1"/>
    <col min="14093" max="14093" width="12" bestFit="1" customWidth="1"/>
    <col min="14094" max="14094" width="14" customWidth="1"/>
    <col min="14095" max="14095" width="11.54296875" customWidth="1"/>
    <col min="14096" max="14096" width="12.7265625" customWidth="1"/>
    <col min="14097" max="14097" width="12.54296875" customWidth="1"/>
    <col min="14098" max="14098" width="11.26953125" customWidth="1"/>
    <col min="14099" max="14099" width="34.54296875" customWidth="1"/>
    <col min="14100" max="14100" width="11" bestFit="1" customWidth="1"/>
    <col min="14102" max="14102" width="14.26953125" customWidth="1"/>
    <col min="14105" max="14105" width="39.453125" customWidth="1"/>
    <col min="14107" max="14107" width="22.26953125" customWidth="1"/>
    <col min="14111" max="14111" width="21.26953125" customWidth="1"/>
    <col min="14115" max="14115" width="20.26953125" customWidth="1"/>
    <col min="14119" max="14119" width="34.453125" customWidth="1"/>
    <col min="14120" max="14120" width="26.54296875" customWidth="1"/>
    <col min="14121" max="14121" width="16.453125" customWidth="1"/>
    <col min="14122" max="14123" width="20.1796875" customWidth="1"/>
    <col min="14124" max="14124" width="37.1796875" customWidth="1"/>
    <col min="14125" max="14125" width="27" customWidth="1"/>
    <col min="14126" max="14126" width="12.1796875" customWidth="1"/>
    <col min="14127" max="14127" width="12.453125" bestFit="1" customWidth="1"/>
    <col min="14130" max="14130" width="34.81640625" customWidth="1"/>
    <col min="14135" max="14135" width="9.453125" customWidth="1"/>
    <col min="14341" max="14341" width="12" bestFit="1" customWidth="1"/>
    <col min="14342" max="14342" width="16.7265625" bestFit="1" customWidth="1"/>
    <col min="14343" max="14343" width="11.453125" customWidth="1"/>
    <col min="14344" max="14344" width="16.7265625" customWidth="1"/>
    <col min="14345" max="14345" width="11.453125" customWidth="1"/>
    <col min="14346" max="14346" width="10.1796875" customWidth="1"/>
    <col min="14347" max="14347" width="12.7265625" customWidth="1"/>
    <col min="14348" max="14348" width="11.54296875" customWidth="1"/>
    <col min="14349" max="14349" width="12" bestFit="1" customWidth="1"/>
    <col min="14350" max="14350" width="14" customWidth="1"/>
    <col min="14351" max="14351" width="11.54296875" customWidth="1"/>
    <col min="14352" max="14352" width="12.7265625" customWidth="1"/>
    <col min="14353" max="14353" width="12.54296875" customWidth="1"/>
    <col min="14354" max="14354" width="11.26953125" customWidth="1"/>
    <col min="14355" max="14355" width="34.54296875" customWidth="1"/>
    <col min="14356" max="14356" width="11" bestFit="1" customWidth="1"/>
    <col min="14358" max="14358" width="14.26953125" customWidth="1"/>
    <col min="14361" max="14361" width="39.453125" customWidth="1"/>
    <col min="14363" max="14363" width="22.26953125" customWidth="1"/>
    <col min="14367" max="14367" width="21.26953125" customWidth="1"/>
    <col min="14371" max="14371" width="20.26953125" customWidth="1"/>
    <col min="14375" max="14375" width="34.453125" customWidth="1"/>
    <col min="14376" max="14376" width="26.54296875" customWidth="1"/>
    <col min="14377" max="14377" width="16.453125" customWidth="1"/>
    <col min="14378" max="14379" width="20.1796875" customWidth="1"/>
    <col min="14380" max="14380" width="37.1796875" customWidth="1"/>
    <col min="14381" max="14381" width="27" customWidth="1"/>
    <col min="14382" max="14382" width="12.1796875" customWidth="1"/>
    <col min="14383" max="14383" width="12.453125" bestFit="1" customWidth="1"/>
    <col min="14386" max="14386" width="34.81640625" customWidth="1"/>
    <col min="14391" max="14391" width="9.453125" customWidth="1"/>
    <col min="14597" max="14597" width="12" bestFit="1" customWidth="1"/>
    <col min="14598" max="14598" width="16.7265625" bestFit="1" customWidth="1"/>
    <col min="14599" max="14599" width="11.453125" customWidth="1"/>
    <col min="14600" max="14600" width="16.7265625" customWidth="1"/>
    <col min="14601" max="14601" width="11.453125" customWidth="1"/>
    <col min="14602" max="14602" width="10.1796875" customWidth="1"/>
    <col min="14603" max="14603" width="12.7265625" customWidth="1"/>
    <col min="14604" max="14604" width="11.54296875" customWidth="1"/>
    <col min="14605" max="14605" width="12" bestFit="1" customWidth="1"/>
    <col min="14606" max="14606" width="14" customWidth="1"/>
    <col min="14607" max="14607" width="11.54296875" customWidth="1"/>
    <col min="14608" max="14608" width="12.7265625" customWidth="1"/>
    <col min="14609" max="14609" width="12.54296875" customWidth="1"/>
    <col min="14610" max="14610" width="11.26953125" customWidth="1"/>
    <col min="14611" max="14611" width="34.54296875" customWidth="1"/>
    <col min="14612" max="14612" width="11" bestFit="1" customWidth="1"/>
    <col min="14614" max="14614" width="14.26953125" customWidth="1"/>
    <col min="14617" max="14617" width="39.453125" customWidth="1"/>
    <col min="14619" max="14619" width="22.26953125" customWidth="1"/>
    <col min="14623" max="14623" width="21.26953125" customWidth="1"/>
    <col min="14627" max="14627" width="20.26953125" customWidth="1"/>
    <col min="14631" max="14631" width="34.453125" customWidth="1"/>
    <col min="14632" max="14632" width="26.54296875" customWidth="1"/>
    <col min="14633" max="14633" width="16.453125" customWidth="1"/>
    <col min="14634" max="14635" width="20.1796875" customWidth="1"/>
    <col min="14636" max="14636" width="37.1796875" customWidth="1"/>
    <col min="14637" max="14637" width="27" customWidth="1"/>
    <col min="14638" max="14638" width="12.1796875" customWidth="1"/>
    <col min="14639" max="14639" width="12.453125" bestFit="1" customWidth="1"/>
    <col min="14642" max="14642" width="34.81640625" customWidth="1"/>
    <col min="14647" max="14647" width="9.453125" customWidth="1"/>
    <col min="14853" max="14853" width="12" bestFit="1" customWidth="1"/>
    <col min="14854" max="14854" width="16.7265625" bestFit="1" customWidth="1"/>
    <col min="14855" max="14855" width="11.453125" customWidth="1"/>
    <col min="14856" max="14856" width="16.7265625" customWidth="1"/>
    <col min="14857" max="14857" width="11.453125" customWidth="1"/>
    <col min="14858" max="14858" width="10.1796875" customWidth="1"/>
    <col min="14859" max="14859" width="12.7265625" customWidth="1"/>
    <col min="14860" max="14860" width="11.54296875" customWidth="1"/>
    <col min="14861" max="14861" width="12" bestFit="1" customWidth="1"/>
    <col min="14862" max="14862" width="14" customWidth="1"/>
    <col min="14863" max="14863" width="11.54296875" customWidth="1"/>
    <col min="14864" max="14864" width="12.7265625" customWidth="1"/>
    <col min="14865" max="14865" width="12.54296875" customWidth="1"/>
    <col min="14866" max="14866" width="11.26953125" customWidth="1"/>
    <col min="14867" max="14867" width="34.54296875" customWidth="1"/>
    <col min="14868" max="14868" width="11" bestFit="1" customWidth="1"/>
    <col min="14870" max="14870" width="14.26953125" customWidth="1"/>
    <col min="14873" max="14873" width="39.453125" customWidth="1"/>
    <col min="14875" max="14875" width="22.26953125" customWidth="1"/>
    <col min="14879" max="14879" width="21.26953125" customWidth="1"/>
    <col min="14883" max="14883" width="20.26953125" customWidth="1"/>
    <col min="14887" max="14887" width="34.453125" customWidth="1"/>
    <col min="14888" max="14888" width="26.54296875" customWidth="1"/>
    <col min="14889" max="14889" width="16.453125" customWidth="1"/>
    <col min="14890" max="14891" width="20.1796875" customWidth="1"/>
    <col min="14892" max="14892" width="37.1796875" customWidth="1"/>
    <col min="14893" max="14893" width="27" customWidth="1"/>
    <col min="14894" max="14894" width="12.1796875" customWidth="1"/>
    <col min="14895" max="14895" width="12.453125" bestFit="1" customWidth="1"/>
    <col min="14898" max="14898" width="34.81640625" customWidth="1"/>
    <col min="14903" max="14903" width="9.453125" customWidth="1"/>
    <col min="15109" max="15109" width="12" bestFit="1" customWidth="1"/>
    <col min="15110" max="15110" width="16.7265625" bestFit="1" customWidth="1"/>
    <col min="15111" max="15111" width="11.453125" customWidth="1"/>
    <col min="15112" max="15112" width="16.7265625" customWidth="1"/>
    <col min="15113" max="15113" width="11.453125" customWidth="1"/>
    <col min="15114" max="15114" width="10.1796875" customWidth="1"/>
    <col min="15115" max="15115" width="12.7265625" customWidth="1"/>
    <col min="15116" max="15116" width="11.54296875" customWidth="1"/>
    <col min="15117" max="15117" width="12" bestFit="1" customWidth="1"/>
    <col min="15118" max="15118" width="14" customWidth="1"/>
    <col min="15119" max="15119" width="11.54296875" customWidth="1"/>
    <col min="15120" max="15120" width="12.7265625" customWidth="1"/>
    <col min="15121" max="15121" width="12.54296875" customWidth="1"/>
    <col min="15122" max="15122" width="11.26953125" customWidth="1"/>
    <col min="15123" max="15123" width="34.54296875" customWidth="1"/>
    <col min="15124" max="15124" width="11" bestFit="1" customWidth="1"/>
    <col min="15126" max="15126" width="14.26953125" customWidth="1"/>
    <col min="15129" max="15129" width="39.453125" customWidth="1"/>
    <col min="15131" max="15131" width="22.26953125" customWidth="1"/>
    <col min="15135" max="15135" width="21.26953125" customWidth="1"/>
    <col min="15139" max="15139" width="20.26953125" customWidth="1"/>
    <col min="15143" max="15143" width="34.453125" customWidth="1"/>
    <col min="15144" max="15144" width="26.54296875" customWidth="1"/>
    <col min="15145" max="15145" width="16.453125" customWidth="1"/>
    <col min="15146" max="15147" width="20.1796875" customWidth="1"/>
    <col min="15148" max="15148" width="37.1796875" customWidth="1"/>
    <col min="15149" max="15149" width="27" customWidth="1"/>
    <col min="15150" max="15150" width="12.1796875" customWidth="1"/>
    <col min="15151" max="15151" width="12.453125" bestFit="1" customWidth="1"/>
    <col min="15154" max="15154" width="34.81640625" customWidth="1"/>
    <col min="15159" max="15159" width="9.453125" customWidth="1"/>
    <col min="15365" max="15365" width="12" bestFit="1" customWidth="1"/>
    <col min="15366" max="15366" width="16.7265625" bestFit="1" customWidth="1"/>
    <col min="15367" max="15367" width="11.453125" customWidth="1"/>
    <col min="15368" max="15368" width="16.7265625" customWidth="1"/>
    <col min="15369" max="15369" width="11.453125" customWidth="1"/>
    <col min="15370" max="15370" width="10.1796875" customWidth="1"/>
    <col min="15371" max="15371" width="12.7265625" customWidth="1"/>
    <col min="15372" max="15372" width="11.54296875" customWidth="1"/>
    <col min="15373" max="15373" width="12" bestFit="1" customWidth="1"/>
    <col min="15374" max="15374" width="14" customWidth="1"/>
    <col min="15375" max="15375" width="11.54296875" customWidth="1"/>
    <col min="15376" max="15376" width="12.7265625" customWidth="1"/>
    <col min="15377" max="15377" width="12.54296875" customWidth="1"/>
    <col min="15378" max="15378" width="11.26953125" customWidth="1"/>
    <col min="15379" max="15379" width="34.54296875" customWidth="1"/>
    <col min="15380" max="15380" width="11" bestFit="1" customWidth="1"/>
    <col min="15382" max="15382" width="14.26953125" customWidth="1"/>
    <col min="15385" max="15385" width="39.453125" customWidth="1"/>
    <col min="15387" max="15387" width="22.26953125" customWidth="1"/>
    <col min="15391" max="15391" width="21.26953125" customWidth="1"/>
    <col min="15395" max="15395" width="20.26953125" customWidth="1"/>
    <col min="15399" max="15399" width="34.453125" customWidth="1"/>
    <col min="15400" max="15400" width="26.54296875" customWidth="1"/>
    <col min="15401" max="15401" width="16.453125" customWidth="1"/>
    <col min="15402" max="15403" width="20.1796875" customWidth="1"/>
    <col min="15404" max="15404" width="37.1796875" customWidth="1"/>
    <col min="15405" max="15405" width="27" customWidth="1"/>
    <col min="15406" max="15406" width="12.1796875" customWidth="1"/>
    <col min="15407" max="15407" width="12.453125" bestFit="1" customWidth="1"/>
    <col min="15410" max="15410" width="34.81640625" customWidth="1"/>
    <col min="15415" max="15415" width="9.453125" customWidth="1"/>
    <col min="15621" max="15621" width="12" bestFit="1" customWidth="1"/>
    <col min="15622" max="15622" width="16.7265625" bestFit="1" customWidth="1"/>
    <col min="15623" max="15623" width="11.453125" customWidth="1"/>
    <col min="15624" max="15624" width="16.7265625" customWidth="1"/>
    <col min="15625" max="15625" width="11.453125" customWidth="1"/>
    <col min="15626" max="15626" width="10.1796875" customWidth="1"/>
    <col min="15627" max="15627" width="12.7265625" customWidth="1"/>
    <col min="15628" max="15628" width="11.54296875" customWidth="1"/>
    <col min="15629" max="15629" width="12" bestFit="1" customWidth="1"/>
    <col min="15630" max="15630" width="14" customWidth="1"/>
    <col min="15631" max="15631" width="11.54296875" customWidth="1"/>
    <col min="15632" max="15632" width="12.7265625" customWidth="1"/>
    <col min="15633" max="15633" width="12.54296875" customWidth="1"/>
    <col min="15634" max="15634" width="11.26953125" customWidth="1"/>
    <col min="15635" max="15635" width="34.54296875" customWidth="1"/>
    <col min="15636" max="15636" width="11" bestFit="1" customWidth="1"/>
    <col min="15638" max="15638" width="14.26953125" customWidth="1"/>
    <col min="15641" max="15641" width="39.453125" customWidth="1"/>
    <col min="15643" max="15643" width="22.26953125" customWidth="1"/>
    <col min="15647" max="15647" width="21.26953125" customWidth="1"/>
    <col min="15651" max="15651" width="20.26953125" customWidth="1"/>
    <col min="15655" max="15655" width="34.453125" customWidth="1"/>
    <col min="15656" max="15656" width="26.54296875" customWidth="1"/>
    <col min="15657" max="15657" width="16.453125" customWidth="1"/>
    <col min="15658" max="15659" width="20.1796875" customWidth="1"/>
    <col min="15660" max="15660" width="37.1796875" customWidth="1"/>
    <col min="15661" max="15661" width="27" customWidth="1"/>
    <col min="15662" max="15662" width="12.1796875" customWidth="1"/>
    <col min="15663" max="15663" width="12.453125" bestFit="1" customWidth="1"/>
    <col min="15666" max="15666" width="34.81640625" customWidth="1"/>
    <col min="15671" max="15671" width="9.453125" customWidth="1"/>
    <col min="15877" max="15877" width="12" bestFit="1" customWidth="1"/>
    <col min="15878" max="15878" width="16.7265625" bestFit="1" customWidth="1"/>
    <col min="15879" max="15879" width="11.453125" customWidth="1"/>
    <col min="15880" max="15880" width="16.7265625" customWidth="1"/>
    <col min="15881" max="15881" width="11.453125" customWidth="1"/>
    <col min="15882" max="15882" width="10.1796875" customWidth="1"/>
    <col min="15883" max="15883" width="12.7265625" customWidth="1"/>
    <col min="15884" max="15884" width="11.54296875" customWidth="1"/>
    <col min="15885" max="15885" width="12" bestFit="1" customWidth="1"/>
    <col min="15886" max="15886" width="14" customWidth="1"/>
    <col min="15887" max="15887" width="11.54296875" customWidth="1"/>
    <col min="15888" max="15888" width="12.7265625" customWidth="1"/>
    <col min="15889" max="15889" width="12.54296875" customWidth="1"/>
    <col min="15890" max="15890" width="11.26953125" customWidth="1"/>
    <col min="15891" max="15891" width="34.54296875" customWidth="1"/>
    <col min="15892" max="15892" width="11" bestFit="1" customWidth="1"/>
    <col min="15894" max="15894" width="14.26953125" customWidth="1"/>
    <col min="15897" max="15897" width="39.453125" customWidth="1"/>
    <col min="15899" max="15899" width="22.26953125" customWidth="1"/>
    <col min="15903" max="15903" width="21.26953125" customWidth="1"/>
    <col min="15907" max="15907" width="20.26953125" customWidth="1"/>
    <col min="15911" max="15911" width="34.453125" customWidth="1"/>
    <col min="15912" max="15912" width="26.54296875" customWidth="1"/>
    <col min="15913" max="15913" width="16.453125" customWidth="1"/>
    <col min="15914" max="15915" width="20.1796875" customWidth="1"/>
    <col min="15916" max="15916" width="37.1796875" customWidth="1"/>
    <col min="15917" max="15917" width="27" customWidth="1"/>
    <col min="15918" max="15918" width="12.1796875" customWidth="1"/>
    <col min="15919" max="15919" width="12.453125" bestFit="1" customWidth="1"/>
    <col min="15922" max="15922" width="34.81640625" customWidth="1"/>
    <col min="15927" max="15927" width="9.453125" customWidth="1"/>
    <col min="16133" max="16133" width="12" bestFit="1" customWidth="1"/>
    <col min="16134" max="16134" width="16.7265625" bestFit="1" customWidth="1"/>
    <col min="16135" max="16135" width="11.453125" customWidth="1"/>
    <col min="16136" max="16136" width="16.7265625" customWidth="1"/>
    <col min="16137" max="16137" width="11.453125" customWidth="1"/>
    <col min="16138" max="16138" width="10.1796875" customWidth="1"/>
    <col min="16139" max="16139" width="12.7265625" customWidth="1"/>
    <col min="16140" max="16140" width="11.54296875" customWidth="1"/>
    <col min="16141" max="16141" width="12" bestFit="1" customWidth="1"/>
    <col min="16142" max="16142" width="14" customWidth="1"/>
    <col min="16143" max="16143" width="11.54296875" customWidth="1"/>
    <col min="16144" max="16144" width="12.7265625" customWidth="1"/>
    <col min="16145" max="16145" width="12.54296875" customWidth="1"/>
    <col min="16146" max="16146" width="11.26953125" customWidth="1"/>
    <col min="16147" max="16147" width="34.54296875" customWidth="1"/>
    <col min="16148" max="16148" width="11" bestFit="1" customWidth="1"/>
    <col min="16150" max="16150" width="14.26953125" customWidth="1"/>
    <col min="16153" max="16153" width="39.453125" customWidth="1"/>
    <col min="16155" max="16155" width="22.26953125" customWidth="1"/>
    <col min="16159" max="16159" width="21.26953125" customWidth="1"/>
    <col min="16163" max="16163" width="20.26953125" customWidth="1"/>
    <col min="16167" max="16167" width="34.453125" customWidth="1"/>
    <col min="16168" max="16168" width="26.54296875" customWidth="1"/>
    <col min="16169" max="16169" width="16.453125" customWidth="1"/>
    <col min="16170" max="16171" width="20.1796875" customWidth="1"/>
    <col min="16172" max="16172" width="37.1796875" customWidth="1"/>
    <col min="16173" max="16173" width="27" customWidth="1"/>
    <col min="16174" max="16174" width="12.1796875" customWidth="1"/>
    <col min="16175" max="16175" width="12.453125" bestFit="1" customWidth="1"/>
    <col min="16178" max="16178" width="34.81640625" customWidth="1"/>
    <col min="16183" max="16183" width="9.453125" customWidth="1"/>
  </cols>
  <sheetData>
    <row r="1" spans="1:68" s="41" customFormat="1">
      <c r="BN1" s="173"/>
      <c r="BO1" s="173"/>
      <c r="BP1" s="173"/>
    </row>
    <row r="2" spans="1:68" s="41" customFormat="1">
      <c r="BN2" s="42"/>
      <c r="BO2" s="42"/>
      <c r="BP2" s="42"/>
    </row>
    <row r="3" spans="1:68" s="41" customFormat="1">
      <c r="BN3" s="42"/>
      <c r="BO3" s="42"/>
      <c r="BP3" s="42"/>
    </row>
    <row r="4" spans="1:68" s="41" customFormat="1">
      <c r="BN4" s="42"/>
      <c r="BO4" s="42"/>
      <c r="BP4" s="42"/>
    </row>
    <row r="5" spans="1:68" s="41" customFormat="1">
      <c r="BN5" s="42"/>
      <c r="BO5" s="42"/>
      <c r="BP5" s="42"/>
    </row>
    <row r="6" spans="1:68" s="41" customFormat="1">
      <c r="BN6" s="42"/>
      <c r="BO6" s="42"/>
      <c r="BP6" s="42"/>
    </row>
    <row r="7" spans="1:68" s="41" customFormat="1">
      <c r="BN7" s="42"/>
      <c r="BO7" s="42"/>
      <c r="BP7" s="42"/>
    </row>
    <row r="8" spans="1:68" s="41" customFormat="1">
      <c r="BN8" s="42"/>
      <c r="BO8" s="42"/>
      <c r="BP8" s="42"/>
    </row>
    <row r="9" spans="1:68" s="41" customFormat="1">
      <c r="BN9" s="42"/>
      <c r="BO9" s="42"/>
      <c r="BP9" s="42"/>
    </row>
    <row r="10" spans="1:68" s="41" customFormat="1">
      <c r="BN10" s="42"/>
      <c r="BO10" s="42"/>
      <c r="BP10" s="42"/>
    </row>
    <row r="11" spans="1:68" s="41" customFormat="1">
      <c r="BN11" s="42"/>
      <c r="BO11" s="42"/>
      <c r="BP11" s="42"/>
    </row>
    <row r="12" spans="1:68" s="41" customFormat="1">
      <c r="BN12" s="42"/>
      <c r="BO12" s="42"/>
      <c r="BP12" s="42"/>
    </row>
    <row r="13" spans="1:68" s="41" customFormat="1">
      <c r="BN13" s="42"/>
      <c r="BO13" s="42"/>
      <c r="BP13" s="42"/>
    </row>
    <row r="14" spans="1:68" s="41" customFormat="1">
      <c r="BN14" s="42"/>
      <c r="BO14" s="42"/>
      <c r="BP14" s="42"/>
    </row>
    <row r="15" spans="1:68" s="41" customFormat="1">
      <c r="BN15" s="42"/>
      <c r="BO15" s="42"/>
      <c r="BP15" s="42"/>
    </row>
    <row r="16" spans="1:68" ht="15.75" customHeight="1">
      <c r="A16" s="174" t="s">
        <v>146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5"/>
      <c r="M16" s="175"/>
      <c r="N16" s="175"/>
      <c r="O16" s="176" t="s">
        <v>147</v>
      </c>
      <c r="P16" s="177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BN16" s="42"/>
      <c r="BO16" s="42"/>
      <c r="BP16" s="42"/>
    </row>
    <row r="17" spans="1:68" ht="15.5">
      <c r="A17" s="178" t="s">
        <v>148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5"/>
      <c r="M17" s="175"/>
      <c r="N17" s="175"/>
      <c r="O17" s="176"/>
      <c r="P17" s="177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BN17" s="42"/>
      <c r="BO17" s="42"/>
      <c r="BP17" s="42"/>
    </row>
    <row r="18" spans="1:68" s="41" customFormat="1" ht="15.75" customHeight="1" thickBot="1">
      <c r="O18" s="171" t="s">
        <v>149</v>
      </c>
      <c r="P18" s="172"/>
      <c r="BN18" s="42"/>
      <c r="BO18" s="42"/>
      <c r="BP18" s="42"/>
    </row>
    <row r="19" spans="1:68" ht="15.75" customHeight="1" thickBot="1">
      <c r="A19" s="166" t="s">
        <v>150</v>
      </c>
      <c r="B19" s="167"/>
      <c r="C19" s="167"/>
      <c r="D19" s="167"/>
      <c r="E19" s="168"/>
      <c r="F19" s="41"/>
      <c r="G19" s="41"/>
      <c r="H19" s="41"/>
      <c r="I19" s="41"/>
      <c r="J19" s="166" t="s">
        <v>151</v>
      </c>
      <c r="K19" s="169"/>
      <c r="L19" s="169"/>
      <c r="M19" s="169"/>
      <c r="N19" s="170"/>
      <c r="O19" s="171" t="s">
        <v>152</v>
      </c>
      <c r="P19" s="172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BN19" s="42"/>
      <c r="BO19" s="42"/>
      <c r="BP19" s="42"/>
    </row>
    <row r="20" spans="1:68" ht="15.75" customHeight="1">
      <c r="A20" s="43"/>
      <c r="B20" s="44"/>
      <c r="C20" s="44"/>
      <c r="D20" s="44"/>
      <c r="E20" s="45"/>
      <c r="F20" s="41"/>
      <c r="G20" s="41"/>
      <c r="H20" s="41"/>
      <c r="I20" s="41"/>
      <c r="J20" s="186" t="s">
        <v>153</v>
      </c>
      <c r="K20" s="187"/>
      <c r="L20" s="188"/>
      <c r="M20" s="101">
        <v>8.8999999999999996E-2</v>
      </c>
      <c r="N20" s="102" t="s">
        <v>8</v>
      </c>
      <c r="O20" s="171" t="s">
        <v>154</v>
      </c>
      <c r="P20" s="172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BN20" s="42"/>
      <c r="BO20" s="42"/>
      <c r="BP20" s="42"/>
    </row>
    <row r="21" spans="1:68" ht="15.5">
      <c r="A21" s="43"/>
      <c r="B21" s="44"/>
      <c r="C21" s="44"/>
      <c r="D21" s="44"/>
      <c r="E21" s="45"/>
      <c r="F21" s="41"/>
      <c r="G21" s="41"/>
      <c r="H21" s="41"/>
      <c r="I21" s="41"/>
      <c r="J21" s="46" t="s">
        <v>155</v>
      </c>
      <c r="K21" s="47"/>
      <c r="L21" s="47"/>
      <c r="M21" s="103">
        <v>1.87</v>
      </c>
      <c r="N21" s="104" t="s">
        <v>5</v>
      </c>
      <c r="O21" s="171"/>
      <c r="P21" s="172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BN21" s="42"/>
      <c r="BO21" s="42"/>
      <c r="BP21" s="42"/>
    </row>
    <row r="22" spans="1:68">
      <c r="A22" s="43"/>
      <c r="B22" s="44"/>
      <c r="C22" s="44"/>
      <c r="D22" s="44"/>
      <c r="E22" s="45"/>
      <c r="F22" s="41"/>
      <c r="G22" s="41"/>
      <c r="H22" s="41"/>
      <c r="I22" s="41"/>
      <c r="J22" s="46" t="s">
        <v>156</v>
      </c>
      <c r="K22" s="47"/>
      <c r="L22" s="47"/>
      <c r="M22" s="105">
        <f>+Dmax*(Vin-Vout)/(Lout*0.000001)</f>
        <v>159743.58974358975</v>
      </c>
      <c r="N22" s="104" t="s">
        <v>157</v>
      </c>
      <c r="O22" s="41" t="s">
        <v>158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BN22" s="42"/>
      <c r="BO22" s="42"/>
      <c r="BP22" s="42"/>
    </row>
    <row r="23" spans="1:68" ht="16" thickBot="1">
      <c r="A23" s="43"/>
      <c r="B23" s="44"/>
      <c r="C23" s="44"/>
      <c r="D23" s="44"/>
      <c r="E23" s="45"/>
      <c r="F23" s="41"/>
      <c r="G23" s="41"/>
      <c r="H23" s="41"/>
      <c r="I23" s="41"/>
      <c r="J23" s="46" t="s">
        <v>159</v>
      </c>
      <c r="K23" s="47"/>
      <c r="L23" s="47"/>
      <c r="M23" s="105">
        <f>1+Se*C28/(Sn)</f>
        <v>7.6725682182985553</v>
      </c>
      <c r="N23" s="104" t="s">
        <v>157</v>
      </c>
      <c r="O23" s="41" t="s">
        <v>160</v>
      </c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BN23" s="42"/>
      <c r="BO23" s="42"/>
      <c r="BP23" s="42"/>
    </row>
    <row r="24" spans="1:68">
      <c r="A24" s="48"/>
      <c r="B24" s="49" t="s">
        <v>161</v>
      </c>
      <c r="C24" s="50">
        <f>SQRT(1/(Lout*0.000001*ncap*Cap*0.000001*(Rout+ESR*0.001/ncap)/(Rout+DCR*0.001)))</f>
        <v>92530.74992930048</v>
      </c>
      <c r="D24" s="51" t="s">
        <v>126</v>
      </c>
      <c r="E24" s="48"/>
      <c r="F24" s="41"/>
      <c r="G24" s="41"/>
      <c r="H24" s="41"/>
      <c r="I24" s="41"/>
      <c r="J24" s="46" t="s">
        <v>162</v>
      </c>
      <c r="K24" s="47"/>
      <c r="L24" s="47"/>
      <c r="M24" s="106">
        <v>10000000</v>
      </c>
      <c r="N24" s="104" t="s">
        <v>163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BN24" s="42"/>
      <c r="BO24" s="42"/>
      <c r="BP24" s="42"/>
    </row>
    <row r="25" spans="1:68">
      <c r="A25" s="52"/>
      <c r="B25" s="53" t="s">
        <v>164</v>
      </c>
      <c r="C25" s="54">
        <f>1/(2*PI()*Cap*0.000001*ESR*0.001)</f>
        <v>2122065.907891938</v>
      </c>
      <c r="D25" s="55" t="s">
        <v>126</v>
      </c>
      <c r="E25" s="52"/>
      <c r="F25" s="41"/>
      <c r="G25" s="41"/>
      <c r="H25" s="41"/>
      <c r="I25" s="41"/>
      <c r="J25" s="46" t="s">
        <v>165</v>
      </c>
      <c r="K25" s="47"/>
      <c r="L25" s="47"/>
      <c r="M25" s="106">
        <v>0.8</v>
      </c>
      <c r="N25" s="104" t="s">
        <v>5</v>
      </c>
      <c r="O25" s="41" t="s">
        <v>268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BN25" s="42"/>
      <c r="BO25" s="42"/>
      <c r="BP25" s="42"/>
    </row>
    <row r="26" spans="1:68" ht="15" thickBot="1">
      <c r="A26" s="52"/>
      <c r="B26" s="53" t="s">
        <v>166</v>
      </c>
      <c r="C26" s="54">
        <f>1/(2*PI()*Cap*0.000001*ncap*(ESR*0.001/ncap+Vout/Iout))</f>
        <v>3707.1278650470595</v>
      </c>
      <c r="D26" s="55" t="s">
        <v>126</v>
      </c>
      <c r="E26" s="52"/>
      <c r="F26" s="41"/>
      <c r="G26" s="41"/>
      <c r="H26" s="41"/>
      <c r="I26" s="41"/>
      <c r="J26" s="56" t="s">
        <v>167</v>
      </c>
      <c r="K26" s="57"/>
      <c r="L26" s="57"/>
      <c r="M26" s="107">
        <v>1.4999999999999999E-4</v>
      </c>
      <c r="N26" s="108" t="s">
        <v>168</v>
      </c>
      <c r="O26" s="41" t="s">
        <v>269</v>
      </c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BN26" s="42"/>
      <c r="BO26" s="42"/>
      <c r="BP26" s="42"/>
    </row>
    <row r="27" spans="1:68" ht="15" thickBot="1">
      <c r="A27" s="52"/>
      <c r="B27" s="53" t="s">
        <v>169</v>
      </c>
      <c r="C27" s="59">
        <f>1/(Gdo*(Cap*0.000001*ESR*0.001*Vout/(Iout*(Vout/Iout+DCR*0.001))+(Vout/Iout+ESR*0.001)*Cap*0.000001*ncap*DCR*0.001/(Vout/Iout+DCR*0.001)+Lout*0.000001/(Vout/Iout+DCR*0.001)))</f>
        <v>3.6694135264550893</v>
      </c>
      <c r="D27" s="55"/>
      <c r="E27" s="52"/>
      <c r="F27" s="41"/>
      <c r="G27" s="41"/>
      <c r="H27" s="41"/>
      <c r="I27" s="41"/>
      <c r="J27" s="189" t="s">
        <v>170</v>
      </c>
      <c r="K27" s="169"/>
      <c r="L27" s="170"/>
      <c r="M27" s="190" t="s">
        <v>171</v>
      </c>
      <c r="N27" s="191"/>
      <c r="O27" s="41" t="s">
        <v>270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BN27" s="42"/>
      <c r="BO27" s="42"/>
      <c r="BP27" s="42"/>
    </row>
    <row r="28" spans="1:68" ht="15" thickBot="1">
      <c r="A28" s="60"/>
      <c r="B28" s="61" t="s">
        <v>172</v>
      </c>
      <c r="C28" s="62">
        <f>+Fs*1000</f>
        <v>570000</v>
      </c>
      <c r="D28" s="63" t="s">
        <v>126</v>
      </c>
      <c r="E28" s="60"/>
      <c r="F28" s="41"/>
      <c r="G28" s="41"/>
      <c r="H28" s="41"/>
      <c r="I28" s="41"/>
      <c r="J28" s="64" t="s">
        <v>173</v>
      </c>
      <c r="K28" s="133">
        <v>0.1</v>
      </c>
      <c r="L28" s="65" t="s">
        <v>174</v>
      </c>
      <c r="M28" s="109">
        <f>+C28*K28</f>
        <v>57000</v>
      </c>
      <c r="N28" s="66" t="s">
        <v>126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BN28" s="42"/>
      <c r="BO28" s="42"/>
      <c r="BP28" s="42"/>
    </row>
    <row r="29" spans="1:68" ht="15.75" customHeight="1" thickBot="1">
      <c r="A29" s="41"/>
      <c r="B29" s="41"/>
      <c r="C29" s="41"/>
      <c r="D29" s="41"/>
      <c r="E29" s="41"/>
      <c r="F29" s="41"/>
      <c r="G29" s="41"/>
      <c r="H29" s="41"/>
      <c r="I29" s="41"/>
      <c r="J29" s="43" t="s">
        <v>254</v>
      </c>
      <c r="K29" s="67">
        <f>2*PI()*Fc*Vout*Cap*ncap*0.000001*Dmax/(EA_BW*VFB)</f>
        <v>39843.248829152544</v>
      </c>
      <c r="L29" s="68" t="s">
        <v>163</v>
      </c>
      <c r="M29" s="116">
        <v>25500</v>
      </c>
      <c r="N29" s="68" t="s">
        <v>163</v>
      </c>
      <c r="O29" s="134"/>
      <c r="P29" s="135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BN29" s="42"/>
      <c r="BO29" s="42"/>
      <c r="BP29" s="42"/>
    </row>
    <row r="30" spans="1:68" ht="15.75" customHeight="1" thickBot="1">
      <c r="A30" s="166" t="s">
        <v>175</v>
      </c>
      <c r="B30" s="192"/>
      <c r="C30" s="192"/>
      <c r="D30" s="192"/>
      <c r="E30" s="192"/>
      <c r="F30" s="192"/>
      <c r="G30" s="193"/>
      <c r="H30" s="41"/>
      <c r="I30" s="41"/>
      <c r="J30" s="43" t="s">
        <v>244</v>
      </c>
      <c r="K30" s="69">
        <f>1/(2*PI()*K29*F0)</f>
        <v>1.077526158603066E-9</v>
      </c>
      <c r="L30" s="68" t="s">
        <v>176</v>
      </c>
      <c r="M30" s="116">
        <v>1.2E-9</v>
      </c>
      <c r="N30" s="68" t="s">
        <v>176</v>
      </c>
      <c r="O30" s="134"/>
      <c r="P30" s="135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BN30" s="42"/>
      <c r="BO30" s="42"/>
      <c r="BP30" s="42"/>
    </row>
    <row r="31" spans="1:68" ht="15.75" customHeight="1" thickBot="1">
      <c r="A31" s="181" t="s">
        <v>177</v>
      </c>
      <c r="B31" s="182"/>
      <c r="C31" s="70">
        <f>+_Rfb2*(Vout/VFB-1)</f>
        <v>105000</v>
      </c>
      <c r="D31" s="71" t="s">
        <v>8</v>
      </c>
      <c r="E31" s="72"/>
      <c r="F31" s="72"/>
      <c r="G31" s="51" t="s">
        <v>8</v>
      </c>
      <c r="H31" s="41"/>
      <c r="I31" s="41"/>
      <c r="J31" s="43" t="s">
        <v>245</v>
      </c>
      <c r="K31" s="69">
        <f>1/(2*PI()*K29*C28*0.5)</f>
        <v>1.4015885080261554E-11</v>
      </c>
      <c r="L31" s="80" t="s">
        <v>176</v>
      </c>
      <c r="M31" s="116">
        <v>1E-14</v>
      </c>
      <c r="N31" s="80" t="s">
        <v>176</v>
      </c>
      <c r="O31" s="41" t="s">
        <v>271</v>
      </c>
      <c r="P31" s="135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BN31" s="42"/>
      <c r="BO31" s="42"/>
      <c r="BP31" s="42"/>
    </row>
    <row r="32" spans="1:68" ht="15" thickBot="1">
      <c r="A32" s="179" t="s">
        <v>178</v>
      </c>
      <c r="B32" s="180"/>
      <c r="C32" s="58">
        <v>20000</v>
      </c>
      <c r="D32" s="73" t="s">
        <v>8</v>
      </c>
      <c r="E32" s="60" t="str">
        <f>IF(_Rfb2&gt;30000, "Please lower R2", " ")</f>
        <v xml:space="preserve"> </v>
      </c>
      <c r="F32" s="74"/>
      <c r="G32" s="63"/>
      <c r="H32" s="41"/>
      <c r="I32" s="41"/>
      <c r="J32" s="75" t="s">
        <v>179</v>
      </c>
      <c r="K32" s="76">
        <f>1/(2*PI()*K29*K30)</f>
        <v>3707.1278650470595</v>
      </c>
      <c r="L32" s="66" t="s">
        <v>126</v>
      </c>
      <c r="M32" s="115">
        <f>1/(2*PI()*M29*M30)</f>
        <v>5201.1419311076907</v>
      </c>
      <c r="N32" s="66" t="s">
        <v>126</v>
      </c>
      <c r="O32" s="41" t="s">
        <v>272</v>
      </c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BN32" s="42"/>
      <c r="BO32" s="42"/>
      <c r="BP32" s="42"/>
    </row>
    <row r="33" spans="1:68" ht="15" thickBot="1">
      <c r="A33" s="181" t="s">
        <v>265</v>
      </c>
      <c r="B33" s="182"/>
      <c r="C33" s="77">
        <v>4.6999999999999999E-11</v>
      </c>
      <c r="D33" s="51" t="s">
        <v>176</v>
      </c>
      <c r="E33" s="44"/>
      <c r="F33" s="41"/>
      <c r="G33" s="41"/>
      <c r="H33" s="41"/>
      <c r="I33" s="41"/>
      <c r="J33" s="78" t="s">
        <v>180</v>
      </c>
      <c r="K33" s="79">
        <f>1/(2*PI()*K29*K31)</f>
        <v>285000</v>
      </c>
      <c r="L33" s="68" t="s">
        <v>126</v>
      </c>
      <c r="M33" s="69">
        <f>1/(2*PI()*M29*M31)</f>
        <v>624137031.73292291</v>
      </c>
      <c r="N33" s="68" t="s">
        <v>126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BN33" s="42"/>
      <c r="BO33" s="42"/>
      <c r="BP33" s="42"/>
    </row>
    <row r="34" spans="1:68" ht="15" thickBot="1">
      <c r="A34" s="183" t="s">
        <v>181</v>
      </c>
      <c r="B34" s="184"/>
      <c r="C34" s="93">
        <v>1.0000000000000001E-18</v>
      </c>
      <c r="D34" s="94"/>
      <c r="E34" s="44"/>
      <c r="F34" s="41"/>
      <c r="G34" s="41"/>
      <c r="H34" s="41"/>
      <c r="I34" s="41"/>
      <c r="J34" s="41"/>
      <c r="K34" s="41"/>
      <c r="L34" s="65" t="s">
        <v>182</v>
      </c>
      <c r="M34" s="89">
        <f>LOOKUP(1,BH64:BH264,B64:B264)/1000</f>
        <v>33.113112148259134</v>
      </c>
      <c r="N34" s="66" t="s">
        <v>2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BN34" s="42"/>
      <c r="BO34" s="42"/>
      <c r="BP34" s="42"/>
    </row>
    <row r="35" spans="1:68" ht="18">
      <c r="A35" s="41"/>
      <c r="B35" s="44"/>
      <c r="C35" s="41"/>
      <c r="D35" s="41"/>
      <c r="E35" s="41"/>
      <c r="F35" s="41"/>
      <c r="G35" s="41"/>
      <c r="H35" s="41"/>
      <c r="I35" s="41"/>
      <c r="J35" s="41"/>
      <c r="K35" s="41"/>
      <c r="L35" s="92" t="s">
        <v>183</v>
      </c>
      <c r="M35" s="90">
        <f>LOOKUP(1,BH64:BH264,BF64:BF264)</f>
        <v>69.018185798636722</v>
      </c>
      <c r="N35" s="68" t="s">
        <v>184</v>
      </c>
      <c r="O35" s="3" t="str">
        <f>IF(M35&lt;45,"Desired Phase Margin should be &gt;45 degree, Recommend to inrease Cout or adjust C4", " ")</f>
        <v xml:space="preserve"> </v>
      </c>
      <c r="P35" s="132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BN35" s="42"/>
      <c r="BO35" s="42"/>
      <c r="BP35" s="42"/>
    </row>
    <row r="36" spans="1:68" s="85" customFormat="1" ht="18.5" thickBot="1">
      <c r="A36" s="82"/>
      <c r="B36" s="82"/>
      <c r="C36" s="82"/>
      <c r="D36" s="82"/>
      <c r="E36" s="82"/>
      <c r="F36" s="82"/>
      <c r="G36" s="82"/>
      <c r="H36" s="82"/>
      <c r="I36" s="83"/>
      <c r="J36" s="84"/>
      <c r="K36" s="83"/>
      <c r="L36" s="81" t="s">
        <v>242</v>
      </c>
      <c r="M36" s="91">
        <f>LOOKUP(1,BI65:BI265,BE65:BE265)</f>
        <v>-23.663935536810495</v>
      </c>
      <c r="N36" s="80" t="s">
        <v>247</v>
      </c>
      <c r="O36" s="3" t="str">
        <f>IF(M36 &gt; -10,"Desired Gain margin should be &lt;-10dB, Recommend to increase Cout ", " ")</f>
        <v xml:space="preserve"> </v>
      </c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BN36" s="42"/>
      <c r="BO36" s="42"/>
      <c r="BP36" s="42"/>
    </row>
    <row r="37" spans="1:68" s="82" customFormat="1">
      <c r="BN37" s="42"/>
      <c r="BO37" s="42"/>
      <c r="BP37" s="42"/>
    </row>
    <row r="38" spans="1:68" s="82" customForma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BN38" s="42"/>
      <c r="BO38" s="42"/>
      <c r="BP38" s="42"/>
    </row>
    <row r="39" spans="1:68" s="82" customFormat="1">
      <c r="A39" s="86" t="s">
        <v>185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N39" s="42"/>
      <c r="BO39" s="42"/>
      <c r="BP39" s="42"/>
    </row>
    <row r="40" spans="1:68" s="82" customFormat="1">
      <c r="A40" s="157">
        <f>PI()*C28</f>
        <v>1790707.8125461822</v>
      </c>
      <c r="B40" s="86" t="s">
        <v>186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N40" s="42"/>
      <c r="BO40" s="42"/>
      <c r="BP40" s="42"/>
    </row>
    <row r="41" spans="1:68" s="82" customFormat="1">
      <c r="A41" s="86">
        <f>-2/PI()</f>
        <v>-0.63661977236758138</v>
      </c>
      <c r="B41" s="86" t="s">
        <v>187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N41" s="42"/>
      <c r="BO41" s="42"/>
      <c r="BP41" s="42"/>
    </row>
    <row r="42" spans="1:68" s="82" customForma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N42" s="42"/>
      <c r="BO42" s="42"/>
      <c r="BP42" s="42"/>
    </row>
    <row r="43" spans="1:68" s="82" customFormat="1">
      <c r="A43" s="157">
        <f>1/(EA_DC*Sn*(1/C28))</f>
        <v>0.46506178857366409</v>
      </c>
      <c r="B43" s="86" t="s">
        <v>188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N43" s="42"/>
      <c r="BO43" s="42"/>
      <c r="BP43" s="42"/>
    </row>
    <row r="44" spans="1:68" s="82" customForma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N44" s="42"/>
      <c r="BO44" s="42"/>
      <c r="BP44" s="42"/>
    </row>
    <row r="45" spans="1:68" s="82" customForma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N45" s="42"/>
      <c r="BO45" s="42"/>
      <c r="BP45" s="42"/>
    </row>
    <row r="46" spans="1:68" s="82" customForma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N46" s="42"/>
      <c r="BO46" s="42"/>
      <c r="BP46" s="42"/>
    </row>
    <row r="47" spans="1:68" s="82" customForma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N47" s="42"/>
      <c r="BO47" s="42"/>
      <c r="BP47" s="42"/>
    </row>
    <row r="48" spans="1:68" s="82" customForma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N48" s="42"/>
      <c r="BO48" s="42"/>
      <c r="BP48" s="42"/>
    </row>
    <row r="49" spans="1:68" s="82" customForma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N49" s="42"/>
      <c r="BO49" s="42"/>
      <c r="BP49" s="42"/>
    </row>
    <row r="50" spans="1:68" s="82" customForma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N50" s="42"/>
      <c r="BO50" s="42"/>
      <c r="BP50" s="42"/>
    </row>
    <row r="51" spans="1:68" s="82" customForma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N51" s="42"/>
      <c r="BO51" s="42"/>
      <c r="BP51" s="42"/>
    </row>
    <row r="52" spans="1:68" s="82" customForma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N52" s="42"/>
      <c r="BO52" s="42"/>
      <c r="BP52" s="42"/>
    </row>
    <row r="53" spans="1:68" s="82" customForma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N53" s="42"/>
      <c r="BO53" s="42"/>
      <c r="BP53" s="42"/>
    </row>
    <row r="54" spans="1:68" s="82" customForma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N54" s="42"/>
      <c r="BO54" s="42"/>
      <c r="BP54" s="42"/>
    </row>
    <row r="55" spans="1:68" s="86" customFormat="1">
      <c r="B55" s="86" t="s">
        <v>189</v>
      </c>
      <c r="C55" s="86">
        <v>100</v>
      </c>
      <c r="Q55" s="157"/>
      <c r="BN55" s="42"/>
      <c r="BO55" s="42"/>
      <c r="BP55" s="42"/>
    </row>
    <row r="56" spans="1:68" s="86" customFormat="1">
      <c r="B56" s="86" t="s">
        <v>190</v>
      </c>
      <c r="C56" s="86">
        <v>1000000</v>
      </c>
      <c r="BN56" s="42"/>
      <c r="BO56" s="42"/>
      <c r="BP56" s="42"/>
    </row>
    <row r="57" spans="1:68" s="86" customFormat="1">
      <c r="B57" s="86" t="s">
        <v>191</v>
      </c>
      <c r="C57" s="86">
        <v>200</v>
      </c>
      <c r="BN57" s="42"/>
      <c r="BO57" s="42"/>
      <c r="BP57" s="42"/>
    </row>
    <row r="58" spans="1:68" s="86" customFormat="1">
      <c r="B58" s="86" t="s">
        <v>192</v>
      </c>
      <c r="C58" s="86">
        <f>LOG(Fstop/Fstart)/Fstep</f>
        <v>0.02</v>
      </c>
      <c r="BN58" s="42"/>
      <c r="BO58" s="42"/>
      <c r="BP58" s="42"/>
    </row>
    <row r="59" spans="1:68" s="86" customFormat="1">
      <c r="BN59" s="42"/>
      <c r="BO59" s="42"/>
      <c r="BP59" s="42"/>
    </row>
    <row r="60" spans="1:68" s="86" customFormat="1">
      <c r="F60" s="86" t="s">
        <v>193</v>
      </c>
      <c r="X60" s="158" t="s">
        <v>194</v>
      </c>
      <c r="AB60" s="158" t="s">
        <v>195</v>
      </c>
      <c r="AF60" s="158" t="s">
        <v>196</v>
      </c>
      <c r="AK60" s="86" t="s">
        <v>197</v>
      </c>
      <c r="AQ60" s="86" t="s">
        <v>198</v>
      </c>
      <c r="BN60" s="42"/>
      <c r="BO60" s="42"/>
      <c r="BP60" s="42"/>
    </row>
    <row r="61" spans="1:68" s="86" customFormat="1">
      <c r="J61" s="86" t="s">
        <v>199</v>
      </c>
      <c r="R61" s="86" t="s">
        <v>200</v>
      </c>
      <c r="X61" s="158" t="s">
        <v>201</v>
      </c>
      <c r="AB61" s="158" t="s">
        <v>202</v>
      </c>
      <c r="AF61" s="158" t="s">
        <v>203</v>
      </c>
      <c r="BN61" s="42"/>
      <c r="BO61" s="42"/>
      <c r="BP61" s="42"/>
    </row>
    <row r="62" spans="1:68" s="86" customFormat="1">
      <c r="A62" s="17"/>
      <c r="B62" s="17"/>
      <c r="C62" s="17"/>
      <c r="D62" s="17"/>
      <c r="E62" s="17"/>
      <c r="F62" s="17"/>
      <c r="G62" s="17"/>
      <c r="H62" s="17"/>
      <c r="AF62" s="158"/>
      <c r="AV62" s="185"/>
      <c r="AW62" s="185"/>
      <c r="AX62" s="17" t="s">
        <v>204</v>
      </c>
      <c r="AY62" s="17"/>
      <c r="AZ62" s="17" t="s">
        <v>205</v>
      </c>
      <c r="BD62" s="86" t="s">
        <v>206</v>
      </c>
      <c r="BH62" s="86" t="s">
        <v>207</v>
      </c>
      <c r="BN62" s="42"/>
      <c r="BO62" s="42"/>
      <c r="BP62" s="42"/>
    </row>
    <row r="63" spans="1:68" s="86" customFormat="1">
      <c r="A63" s="17" t="s">
        <v>192</v>
      </c>
      <c r="B63" s="17" t="s">
        <v>176</v>
      </c>
      <c r="C63" s="17" t="s">
        <v>208</v>
      </c>
      <c r="D63" s="17" t="s">
        <v>209</v>
      </c>
      <c r="E63" s="17" t="s">
        <v>210</v>
      </c>
      <c r="F63" s="17" t="s">
        <v>211</v>
      </c>
      <c r="G63" s="17" t="s">
        <v>212</v>
      </c>
      <c r="H63" s="17" t="s">
        <v>213</v>
      </c>
      <c r="J63" s="17" t="s">
        <v>214</v>
      </c>
      <c r="K63" s="17" t="s">
        <v>215</v>
      </c>
      <c r="N63" s="17" t="s">
        <v>216</v>
      </c>
      <c r="P63" s="159" t="s">
        <v>217</v>
      </c>
      <c r="R63" s="86" t="s">
        <v>214</v>
      </c>
      <c r="S63" s="86" t="s">
        <v>215</v>
      </c>
      <c r="T63" s="86" t="s">
        <v>218</v>
      </c>
      <c r="V63" s="159" t="s">
        <v>219</v>
      </c>
      <c r="X63" s="159" t="s">
        <v>220</v>
      </c>
      <c r="Y63" s="86" t="s">
        <v>214</v>
      </c>
      <c r="Z63" s="86" t="s">
        <v>221</v>
      </c>
      <c r="AB63" s="159" t="s">
        <v>222</v>
      </c>
      <c r="AC63" s="86" t="s">
        <v>214</v>
      </c>
      <c r="AD63" s="86" t="s">
        <v>221</v>
      </c>
      <c r="AF63" s="159" t="s">
        <v>223</v>
      </c>
      <c r="AG63" s="86" t="s">
        <v>224</v>
      </c>
      <c r="AH63" s="86" t="s">
        <v>225</v>
      </c>
      <c r="AJ63" s="86" t="s">
        <v>226</v>
      </c>
      <c r="AK63" s="86" t="s">
        <v>227</v>
      </c>
      <c r="AL63" s="160" t="s">
        <v>228</v>
      </c>
      <c r="AM63" s="160" t="s">
        <v>229</v>
      </c>
      <c r="AN63" s="160" t="s">
        <v>230</v>
      </c>
      <c r="AO63" s="86" t="s">
        <v>231</v>
      </c>
      <c r="AP63" s="159" t="s">
        <v>232</v>
      </c>
      <c r="AQ63" s="17" t="s">
        <v>233</v>
      </c>
      <c r="AR63" s="17"/>
      <c r="AS63" s="17"/>
      <c r="AT63" s="17" t="s">
        <v>234</v>
      </c>
      <c r="AU63" s="159" t="s">
        <v>235</v>
      </c>
      <c r="AV63" s="17"/>
      <c r="AW63" s="17" t="s">
        <v>236</v>
      </c>
      <c r="AX63" s="17" t="s">
        <v>237</v>
      </c>
      <c r="AY63" s="17" t="s">
        <v>221</v>
      </c>
      <c r="AZ63" s="17" t="s">
        <v>238</v>
      </c>
      <c r="BA63" s="17" t="s">
        <v>237</v>
      </c>
      <c r="BB63" s="17" t="s">
        <v>225</v>
      </c>
      <c r="BD63" s="17" t="s">
        <v>239</v>
      </c>
      <c r="BE63" s="17" t="s">
        <v>224</v>
      </c>
      <c r="BF63" s="17" t="s">
        <v>225</v>
      </c>
      <c r="BG63" s="17"/>
      <c r="BH63" s="17" t="s">
        <v>240</v>
      </c>
      <c r="BI63" s="161" t="s">
        <v>241</v>
      </c>
      <c r="BJ63" s="4"/>
      <c r="BK63" s="4"/>
      <c r="BL63" s="88"/>
      <c r="BM63" s="88"/>
      <c r="BN63" s="42"/>
      <c r="BO63" s="42"/>
      <c r="BP63" s="42"/>
    </row>
    <row r="64" spans="1:68" s="86" customFormat="1">
      <c r="A64" s="86">
        <v>0</v>
      </c>
      <c r="B64" s="86">
        <f>Fstart*10^(Step*A64)</f>
        <v>100</v>
      </c>
      <c r="C64" s="86" t="str">
        <f t="shared" ref="C64:C127" si="0">COMPLEX(0,2*PI()*B64,"j")</f>
        <v>628.318530717959j</v>
      </c>
      <c r="D64" s="86">
        <f t="shared" ref="D64:D127" si="1">(IMPRODUCT(C64,C64))/wn^2 + 1</f>
        <v>0.99999987688519543</v>
      </c>
      <c r="E64" s="86" t="str">
        <f t="shared" ref="E64:E127" si="2">IMDIV(C64,wn*Qn)</f>
        <v>-0.000551156605892947j</v>
      </c>
      <c r="F64" s="86" t="str">
        <f t="shared" ref="F64:F127" si="3">IMSUM(D64,E64)</f>
        <v>0.999999876885195-0.000551156605892947j</v>
      </c>
      <c r="G64" s="86">
        <f t="shared" ref="G64:G127" si="4">20*LOG(IMABS(F64),10)</f>
        <v>2.4991045072103895E-7</v>
      </c>
      <c r="H64" s="86">
        <f t="shared" ref="H64:H127" si="5">(IMARGUMENT(F64)*(180/PI()))</f>
        <v>-3.157894805864004E-2</v>
      </c>
      <c r="J64" s="86">
        <f t="shared" ref="J64:J127" si="6">Vin/(Rout+DCR/1000)</f>
        <v>8.3707025411061284</v>
      </c>
      <c r="K64" s="86" t="str">
        <f t="shared" ref="K64:K127" si="7">IMSUM(1,IMPRODUCT(C64,ncap*(Cap*10^-6)*(Rout+(ESR/(ncap*1000)))))</f>
        <v>1+0.0269750609205735j</v>
      </c>
      <c r="L64" s="86">
        <f t="shared" ref="L64:L127" si="8">(IMPRODUCT(C64,C64))/Gdo^2 + 1</f>
        <v>0.99995389080153751</v>
      </c>
      <c r="M64" s="86" t="str">
        <f t="shared" ref="M64:M127" si="9">IMDIV(C64,Q*Gdo)</f>
        <v>0.00185053425560558j</v>
      </c>
      <c r="N64" s="86" t="str">
        <f t="shared" ref="N64:N127" si="10">IMSUM(L64,M64)</f>
        <v>0.999953890801538+0.00185053425560558j</v>
      </c>
      <c r="O64" s="86" t="str">
        <f t="shared" ref="O64:O127" si="11">IMDIV(K64,N64)</f>
        <v>1.00009260909258+0.0251255138059723j</v>
      </c>
      <c r="P64" s="86" t="str">
        <f t="shared" ref="P64:P127" si="12">IMPRODUCT(J64,O64)</f>
        <v>8.37147774427272+0.210318202262249j</v>
      </c>
      <c r="R64" s="86">
        <f t="shared" ref="R64:R127" si="13">Vin/(1+((DCR*10^-3)/Rout))</f>
        <v>11.958146487294469</v>
      </c>
      <c r="S64" s="86" t="str">
        <f t="shared" ref="S64:S127" si="14">IMSUM(1,IMPRODUCT(C64,ncap*(Cap*10^-6)*(ESR/(ncap*1000))))</f>
        <v>1+0.0000471238898038469j</v>
      </c>
      <c r="T64" s="86" t="str">
        <f t="shared" ref="T64:T127" si="15">IMSUM(L64,M64)</f>
        <v>0.999953890801538+0.00185053425560558j</v>
      </c>
      <c r="U64" s="86" t="str">
        <f t="shared" ref="U64:U127" si="16">IMDIV(S64,T64)</f>
        <v>1.00004277359769-0.00180357268110019j</v>
      </c>
      <c r="V64" s="86" t="str">
        <f t="shared" ref="V64:V127" si="17">IMPRODUCT(R64,U64)</f>
        <v>11.9586579802414-0.0215673863210785j</v>
      </c>
      <c r="X64" s="86" t="str">
        <f t="shared" ref="X64:X127" si="18">IMPRODUCT(Fm,Dmax,P64,F64)</f>
        <v>0.346504397990972+0.00851419874014837j</v>
      </c>
      <c r="Y64" s="86">
        <f t="shared" ref="Y64:Y127" si="19">20*LOG(IMABS(X64),10)</f>
        <v>-9.2032036354111764</v>
      </c>
      <c r="Z64" s="86">
        <f t="shared" ref="Z64:Z127" si="20">IF((IMARGUMENT(X64)*(180/PI()))&lt;0,(IMARGUMENT(X64)*(180/PI()))+180,(IMARGUMENT(X64)*(180/PI()))-180)</f>
        <v>-178.59242908924497</v>
      </c>
      <c r="AB64" s="86" t="str">
        <f t="shared" ref="AB64:AB127" si="21">IMPRODUCT(Fm,V64)</f>
        <v>5.56151486923179-0.0100301672573399j</v>
      </c>
      <c r="AC64" s="86">
        <f t="shared" ref="AC64:AC127" si="22">20*LOG(IMABS(AB64),10)</f>
        <v>14.90387617954768</v>
      </c>
      <c r="AD64" s="86">
        <f t="shared" ref="AD64:AD127" si="23">IF((IMARGUMENT(AB64)*(180/PI()))&lt;0,(IMARGUMENT(AB64)*(180/PI()))+180,(IMARGUMENT(AB64)*(180/PI()))-180)</f>
        <v>179.89666742927142</v>
      </c>
      <c r="AF64" s="86" t="str">
        <f t="shared" ref="AF64:AF127" si="24">IMDIV(AB64,IMSUM(1,X64))</f>
        <v>4.13012323020086-0.0335645819857743j</v>
      </c>
      <c r="AG64" s="86">
        <f t="shared" ref="AG64:AG127" si="25">20*LOG(IMABS(AF64),10)</f>
        <v>12.319547015304009</v>
      </c>
      <c r="AH64" s="86">
        <f t="shared" ref="AH64:AH127" si="26">IF((IMARGUMENT(AF64)*(180/PI()))&lt;0,(IMARGUMENT(AF64)*(180/PI()))+180,(IMARGUMENT(AF64)*(180/PI()))-180)</f>
        <v>179.53438034496935</v>
      </c>
      <c r="AJ64" s="86" t="str">
        <f t="shared" ref="AJ64:AJ127" si="27">IMDIV(_Rfb1,IMSUM(1,IMPRODUCT(C64,_Cfb1*_Rfb1)))</f>
        <v>104998.990470128-325.575824353061j</v>
      </c>
      <c r="AK64" s="86" t="str">
        <f t="shared" ref="AK64:AK127" si="28">IMDIV(_Rfb2,IMSUM(1,IMPRODUCT(C64,_Cfb2*_Rfb2)))</f>
        <v>20000-2.51327412287184E-07j</v>
      </c>
      <c r="AL64" s="86" t="str">
        <f>IMDIV(IMSUM(1,IMPRODUCT(C64,10000,0.000000000045)),IMPRODUCT(C64,0.000000000045))</f>
        <v>10000-35367765.1315322j</v>
      </c>
      <c r="AM64" s="86" t="str">
        <f>IMDIV(AL64,IMSUM(1,IMPRODUCT(C64,AL64,0.0000000001)))</f>
        <v>963.13908347349-10976203.1596625j</v>
      </c>
      <c r="AN64" s="86" t="str">
        <f>IMSUM(10000,AM64)</f>
        <v>10963.1390834735-10976203.1596625j</v>
      </c>
      <c r="AO64" s="86" t="str">
        <f>IMDIV(IMPRODUCT(AN64,AK64),IMSUM(AN64,AK64))</f>
        <v>19999.8971990213-36.4421844146976j</v>
      </c>
      <c r="AP64" s="86" t="str">
        <f>IMDIV(AK64,IMSUM(AJ64,AK64))</f>
        <v>0.160000206753658+0.000416740957694505j</v>
      </c>
      <c r="AQ64" s="86" t="str">
        <f t="shared" ref="AQ64:AQ127" si="29">IMSUM(1,IMPRODUCT(C64,_res1*_Cap1))</f>
        <v>1+0.0192265470399695j</v>
      </c>
      <c r="AR64" s="86">
        <f t="shared" ref="AR64:AR95" si="30">(IMPRODUCT(C64,C64))*_res1*_Cap1*_cap2 + (1/Roerr)</f>
        <v>9.9999879196042129E-8</v>
      </c>
      <c r="AS64" s="86" t="str">
        <f t="shared" ref="AS64:AS127" si="31">IMPRODUCT(C64,(_Cap1+_cap2+(_Cap1*_res1/Roerr)))</f>
        <v>7.55911174750855E-07j</v>
      </c>
      <c r="AT64" s="86" t="str">
        <f t="shared" ref="AT64:AT127" si="32">IMSUM(AR64,AS64)</f>
        <v>9.99998791960421E-08+7.55911174750855E-07j</v>
      </c>
      <c r="AU64" s="86" t="str">
        <f t="shared" ref="AU64:AU127" si="33">IMPRODUCT(EA_BW,IMDIV(AQ64,AT64))</f>
        <v>29.5493059887951-194.526920466891j</v>
      </c>
      <c r="AW64" s="86" t="str">
        <f>IMDIV(IMPRODUCT(AP64,AU64),IMPRODUCT(IMSUM(1,IMPRODUCT(C64,1/1500000)),IMSUM(1,IMPRODUCT(C64,1/35000000))))</f>
        <v>4.79537082380886-31.1141280882761j</v>
      </c>
      <c r="AX64" s="86">
        <f t="shared" ref="AX64:AX127" si="34">20*LOG(IMABS(AW64),10)</f>
        <v>29.961107051182466</v>
      </c>
      <c r="AY64" s="86">
        <f t="shared" ref="AY64:AY127" si="35">IF((IMARGUMENT(AW64)*(180/PI()))&lt;0,(IMARGUMENT(AW64)*(180/PI()))+180,(IMARGUMENT(AW64)*(180/PI()))-180)</f>
        <v>98.761599528472999</v>
      </c>
      <c r="AZ64" s="86" t="str">
        <f t="shared" ref="AZ64:AZ127" si="36">IMPRODUCT(AW64,Fm,V64)</f>
        <v>26.3574462313015-173.089784377554j</v>
      </c>
      <c r="BA64" s="86">
        <f t="shared" ref="BA64:BA127" si="37">20*LOG(IMABS(AZ64),10)</f>
        <v>44.864983230730154</v>
      </c>
      <c r="BB64" s="86">
        <f t="shared" ref="BB64:BB127" si="38">IF((IMARGUMENT(AZ64)*(180/PI()))&lt;0,(IMARGUMENT(AZ64)*(180/PI()))+180,(IMARGUMENT(AZ64)*(180/PI()))-180)</f>
        <v>98.658266957744374</v>
      </c>
      <c r="BD64" s="86" t="str">
        <f t="shared" ref="BD64:BD127" si="39">IMDIV(AZ64,IMSUM(1,X64))</f>
        <v>18.7611397337055-128.666137822002j</v>
      </c>
      <c r="BE64" s="86">
        <f t="shared" ref="BE64:BE127" si="40">20*LOG(IMABS(BD64),10)</f>
        <v>42.280654066486463</v>
      </c>
      <c r="BF64" s="86">
        <f t="shared" ref="BF64:BF127" si="41">IF((IMARGUMENT(BD64)*(180/PI()))&lt;0,(IMARGUMENT(BD64)*(180/PI()))+180,(IMARGUMENT(BD64)*(180/PI()))-180)</f>
        <v>98.29597987344232</v>
      </c>
      <c r="BH64" s="86">
        <f>1-BE64</f>
        <v>-41.280654066486463</v>
      </c>
      <c r="BI64" s="162">
        <f>+-1*BF64</f>
        <v>-98.29597987344232</v>
      </c>
      <c r="BJ64" s="88"/>
      <c r="BK64" s="88"/>
      <c r="BL64" s="88"/>
      <c r="BM64" s="88"/>
      <c r="BN64" s="42"/>
      <c r="BO64" s="42"/>
      <c r="BP64" s="42"/>
    </row>
    <row r="65" spans="1:68" s="86" customFormat="1">
      <c r="A65" s="86">
        <v>1</v>
      </c>
      <c r="B65" s="86">
        <f t="shared" ref="B65:B127" si="42">Fstart*10^(Step*A65)</f>
        <v>104.71285480508996</v>
      </c>
      <c r="C65" s="86" t="str">
        <f t="shared" si="0"/>
        <v>657.930270784171j</v>
      </c>
      <c r="D65" s="86">
        <f t="shared" si="1"/>
        <v>0.9999998650073012</v>
      </c>
      <c r="E65" s="86" t="str">
        <f t="shared" si="2"/>
        <v>-0.000577131816477343j</v>
      </c>
      <c r="F65" s="86" t="str">
        <f t="shared" si="3"/>
        <v>0.999999865007301-0.000577131816477343j</v>
      </c>
      <c r="G65" s="86">
        <f t="shared" si="4"/>
        <v>2.7402136956172743E-7</v>
      </c>
      <c r="H65" s="86">
        <f t="shared" si="5"/>
        <v>-3.3067218099347893E-2</v>
      </c>
      <c r="J65" s="86">
        <f t="shared" si="6"/>
        <v>8.3707025411061284</v>
      </c>
      <c r="K65" s="86" t="str">
        <f t="shared" si="7"/>
        <v>1+0.0282463563753447j</v>
      </c>
      <c r="L65" s="86">
        <f t="shared" si="8"/>
        <v>0.9999494422692442</v>
      </c>
      <c r="M65" s="86" t="str">
        <f t="shared" si="9"/>
        <v>0.00193774724819072j</v>
      </c>
      <c r="N65" s="86" t="str">
        <f t="shared" si="10"/>
        <v>0.999949442269244+0.00193774724819072j</v>
      </c>
      <c r="O65" s="86" t="str">
        <f t="shared" si="11"/>
        <v>1.00010154449579+0.0263097425204653j</v>
      </c>
      <c r="P65" s="86" t="str">
        <f t="shared" si="12"/>
        <v>8.37155253987507+0.220231028571907j</v>
      </c>
      <c r="R65" s="86">
        <f t="shared" si="13"/>
        <v>11.958146487294469</v>
      </c>
      <c r="S65" s="86" t="str">
        <f t="shared" si="14"/>
        <v>1+0.0000493447703088128j</v>
      </c>
      <c r="T65" s="86" t="str">
        <f t="shared" si="15"/>
        <v>0.999949442269244+0.00193774724819072j</v>
      </c>
      <c r="U65" s="86" t="str">
        <f t="shared" si="16"/>
        <v>1.00004690049411-0.00188858884195148j</v>
      </c>
      <c r="V65" s="86" t="str">
        <f t="shared" si="17"/>
        <v>11.9587073302734-0.0225840220263256j</v>
      </c>
      <c r="X65" s="86" t="str">
        <f t="shared" si="18"/>
        <v>0.346507952616304+0.00891549322274591j</v>
      </c>
      <c r="Y65" s="86">
        <f t="shared" si="19"/>
        <v>-9.2028617508627448</v>
      </c>
      <c r="Z65" s="86">
        <f t="shared" si="20"/>
        <v>-178.52613063505672</v>
      </c>
      <c r="AB65" s="86" t="str">
        <f t="shared" si="21"/>
        <v>5.56153782004593-0.01050296567675j</v>
      </c>
      <c r="AC65" s="86">
        <f t="shared" si="22"/>
        <v>14.903913386680035</v>
      </c>
      <c r="AD65" s="86">
        <f t="shared" si="23"/>
        <v>179.89179703353207</v>
      </c>
      <c r="AF65" s="86" t="str">
        <f t="shared" si="24"/>
        <v>4.13010889511681-0.0351464122052996j</v>
      </c>
      <c r="AG65" s="86">
        <f t="shared" si="25"/>
        <v>12.319544540247511</v>
      </c>
      <c r="AH65" s="86">
        <f t="shared" si="26"/>
        <v>179.51243598459118</v>
      </c>
      <c r="AJ65" s="86" t="str">
        <f t="shared" si="27"/>
        <v>104998.893073534-340.919423999667j</v>
      </c>
      <c r="AK65" s="86" t="str">
        <f t="shared" si="28"/>
        <v>20000-2.63172108313668E-07j</v>
      </c>
      <c r="AL65" s="86" t="str">
        <f t="shared" ref="AL65:AL128" si="43">IMDIV(IMSUM(1,IMPRODUCT(C65,10000,0.000000000045)),IMPRODUCT(C65,0.000000000045))</f>
        <v>10000-33775953.4847608j</v>
      </c>
      <c r="AM65" s="86" t="str">
        <f t="shared" ref="AM65:AM128" si="44">IMDIV(AL65,IMSUM(1,IMPRODUCT(C65,AL65,0.0000000001)))</f>
        <v>963.139079940295-10482192.6574466j</v>
      </c>
      <c r="AN65" s="86" t="str">
        <f t="shared" ref="AN65:AN128" si="45">IMSUM(10000,AM65)</f>
        <v>10963.1390799403-10482192.6574466j</v>
      </c>
      <c r="AO65" s="86" t="str">
        <f t="shared" ref="AO65:AO128" si="46">IMDIV(IMPRODUCT(AN65,AK65),IMSUM(AN65,AK65))</f>
        <v>19999.8872810552-38.1596222944906j</v>
      </c>
      <c r="AP65" s="86" t="str">
        <f t="shared" ref="AP65:AP128" si="47">IMDIV(AK65,IMSUM(AJ65,AK65))</f>
        <v>0.160000226700873+0.000436381343581373j</v>
      </c>
      <c r="AQ65" s="86" t="str">
        <f t="shared" si="29"/>
        <v>1+0.0201326662859956j</v>
      </c>
      <c r="AR65" s="86">
        <f t="shared" si="30"/>
        <v>9.9999867541094179E-8</v>
      </c>
      <c r="AS65" s="86" t="str">
        <f t="shared" si="31"/>
        <v>7.91536170872313E-07j</v>
      </c>
      <c r="AT65" s="86" t="str">
        <f t="shared" si="32"/>
        <v>9.99998675410942E-08+7.91536170872313E-07j</v>
      </c>
      <c r="AU65" s="86" t="str">
        <f t="shared" si="33"/>
        <v>27.3205572160194-186.053339463883j</v>
      </c>
      <c r="AW65" s="86" t="str">
        <f t="shared" ref="AW65:AW128" si="48">IMDIV(IMPRODUCT(AP65,AU65),IMPRODUCT(IMSUM(1,IMPRODUCT(C65,1/1500000)),IMSUM(1,IMPRODUCT(C65,1/35000000))))</f>
        <v>4.43887342724204-29.7586849780173j</v>
      </c>
      <c r="AX65" s="86">
        <f t="shared" si="34"/>
        <v>29.567843308818929</v>
      </c>
      <c r="AY65" s="86">
        <f t="shared" si="35"/>
        <v>98.48381845483361</v>
      </c>
      <c r="AZ65" s="86" t="str">
        <f t="shared" si="36"/>
        <v>24.3744079970942-165.550673315326j</v>
      </c>
      <c r="BA65" s="86">
        <f t="shared" si="37"/>
        <v>44.471756695498982</v>
      </c>
      <c r="BB65" s="86">
        <f t="shared" si="38"/>
        <v>98.375615488365682</v>
      </c>
      <c r="BD65" s="86" t="str">
        <f t="shared" si="39"/>
        <v>17.287119617225-123.06262000989j</v>
      </c>
      <c r="BE65" s="86">
        <f t="shared" si="40"/>
        <v>41.887387849066485</v>
      </c>
      <c r="BF65" s="86">
        <f t="shared" si="41"/>
        <v>97.996254439424774</v>
      </c>
      <c r="BH65" s="86">
        <f t="shared" ref="BH65:BH128" si="49">1-BE65</f>
        <v>-40.887387849066485</v>
      </c>
      <c r="BI65" s="162">
        <f t="shared" ref="BI65:BI128" si="50">+-1*BF65</f>
        <v>-97.996254439424774</v>
      </c>
      <c r="BJ65" s="88"/>
      <c r="BK65" s="88"/>
      <c r="BL65" s="88"/>
      <c r="BM65" s="88"/>
      <c r="BN65" s="42"/>
      <c r="BO65" s="42"/>
      <c r="BP65" s="42"/>
    </row>
    <row r="66" spans="1:68" s="86" customFormat="1">
      <c r="A66" s="86">
        <v>2</v>
      </c>
      <c r="B66" s="86">
        <f t="shared" si="42"/>
        <v>109.64781961431851</v>
      </c>
      <c r="C66" s="86" t="str">
        <f t="shared" si="0"/>
        <v>688.937569164964j</v>
      </c>
      <c r="D66" s="86">
        <f t="shared" si="1"/>
        <v>0.9999998519834491</v>
      </c>
      <c r="E66" s="86" t="str">
        <f t="shared" si="2"/>
        <v>-0.000604331201021898j</v>
      </c>
      <c r="F66" s="86" t="str">
        <f t="shared" si="3"/>
        <v>0.999999851983449-0.000604331201021898j</v>
      </c>
      <c r="G66" s="86">
        <f t="shared" si="4"/>
        <v>3.0045846404266655E-7</v>
      </c>
      <c r="H66" s="86">
        <f t="shared" si="5"/>
        <v>-3.4625628156512621E-2</v>
      </c>
      <c r="J66" s="86">
        <f t="shared" si="6"/>
        <v>8.3707025411061284</v>
      </c>
      <c r="K66" s="86" t="str">
        <f t="shared" si="7"/>
        <v>1+0.029577566139043j</v>
      </c>
      <c r="L66" s="86">
        <f t="shared" si="8"/>
        <v>0.99994456455057978</v>
      </c>
      <c r="M66" s="86" t="str">
        <f t="shared" si="9"/>
        <v>0.00202907046248757j</v>
      </c>
      <c r="N66" s="86" t="str">
        <f t="shared" si="10"/>
        <v>0.99994456455058+0.00202907046248757j</v>
      </c>
      <c r="O66" s="86" t="str">
        <f t="shared" si="11"/>
        <v>1.00011134210104+0.0275497969909646j</v>
      </c>
      <c r="P66" s="86" t="str">
        <f t="shared" si="12"/>
        <v>8.37163455271424+0.230611155679225j</v>
      </c>
      <c r="R66" s="86">
        <f t="shared" si="13"/>
        <v>11.958146487294469</v>
      </c>
      <c r="S66" s="86" t="str">
        <f t="shared" si="14"/>
        <v>1+0.0000516703176873723j</v>
      </c>
      <c r="T66" s="86" t="str">
        <f t="shared" si="15"/>
        <v>0.99994456455058+0.00202907046248757j</v>
      </c>
      <c r="U66" s="86" t="str">
        <f t="shared" si="16"/>
        <v>1.00005142558182-0.00197761412085686j</v>
      </c>
      <c r="V66" s="86" t="str">
        <f t="shared" si="17"/>
        <v>11.9587614419351-0.0236485993525484j</v>
      </c>
      <c r="X66" s="86" t="str">
        <f t="shared" si="18"/>
        <v>0.346511850234625+0.00933570497032338j</v>
      </c>
      <c r="Y66" s="86">
        <f t="shared" si="19"/>
        <v>-9.202486906302795</v>
      </c>
      <c r="Z66" s="86">
        <f t="shared" si="20"/>
        <v>-178.45671330427174</v>
      </c>
      <c r="AB66" s="86" t="str">
        <f t="shared" si="21"/>
        <v>5.56156298531211-0.0109980599121582j</v>
      </c>
      <c r="AC66" s="86">
        <f t="shared" si="22"/>
        <v>14.903954183658074</v>
      </c>
      <c r="AD66" s="86">
        <f t="shared" si="23"/>
        <v>179.88669703174045</v>
      </c>
      <c r="AF66" s="86" t="str">
        <f t="shared" si="24"/>
        <v>4.13009317694775-0.0368027888528818j</v>
      </c>
      <c r="AG66" s="86">
        <f t="shared" si="25"/>
        <v>12.319541826318714</v>
      </c>
      <c r="AH66" s="86">
        <f t="shared" si="26"/>
        <v>179.48945736176441</v>
      </c>
      <c r="AJ66" s="86" t="str">
        <f t="shared" si="27"/>
        <v>104998.7862805-356.986098368747j</v>
      </c>
      <c r="AK66" s="86" t="str">
        <f t="shared" si="28"/>
        <v>20000-2.75575027665986E-07j</v>
      </c>
      <c r="AL66" s="86" t="str">
        <f t="shared" si="43"/>
        <v>10000-32255785.1637514j</v>
      </c>
      <c r="AM66" s="86" t="str">
        <f t="shared" si="44"/>
        <v>963.139076066234-10010416.2912292j</v>
      </c>
      <c r="AN66" s="86" t="str">
        <f t="shared" si="45"/>
        <v>10963.1390760662-10010416.2912292j</v>
      </c>
      <c r="AO66" s="86" t="str">
        <f t="shared" si="46"/>
        <v>19999.8764062393-39.9579961782679j</v>
      </c>
      <c r="AP66" s="86" t="str">
        <f t="shared" si="47"/>
        <v>0.160000248572557+0.000456947350802992j</v>
      </c>
      <c r="AQ66" s="86" t="str">
        <f t="shared" si="29"/>
        <v>1+0.0210814896164479j</v>
      </c>
      <c r="AR66" s="86">
        <f t="shared" si="30"/>
        <v>9.9999854761697894E-8</v>
      </c>
      <c r="AS66" s="86" t="str">
        <f t="shared" si="31"/>
        <v>8.28840121335293E-07j</v>
      </c>
      <c r="AT66" s="86" t="str">
        <f t="shared" si="32"/>
        <v>9.99998547616979E-08+8.28840121335293E-07j</v>
      </c>
      <c r="AU66" s="86" t="str">
        <f t="shared" si="33"/>
        <v>25.2820153879405-177.925511008734j</v>
      </c>
      <c r="AW66" s="86" t="str">
        <f t="shared" si="48"/>
        <v>4.11280042532187-28.458543627356j</v>
      </c>
      <c r="AX66" s="86">
        <f t="shared" si="34"/>
        <v>29.174024811737389</v>
      </c>
      <c r="AY66" s="86">
        <f t="shared" si="35"/>
        <v>98.223393932229314</v>
      </c>
      <c r="AZ66" s="86" t="str">
        <f t="shared" si="36"/>
        <v>22.5606098436196-158.319215679277j</v>
      </c>
      <c r="BA66" s="86">
        <f t="shared" si="37"/>
        <v>44.077978995395448</v>
      </c>
      <c r="BB66" s="86">
        <f t="shared" si="38"/>
        <v>98.110090963969782</v>
      </c>
      <c r="BD66" s="86" t="str">
        <f t="shared" si="39"/>
        <v>15.9388952025916-117.68779938686j</v>
      </c>
      <c r="BE66" s="86">
        <f t="shared" si="40"/>
        <v>41.493566638056095</v>
      </c>
      <c r="BF66" s="86">
        <f t="shared" si="41"/>
        <v>97.712851293993737</v>
      </c>
      <c r="BH66" s="86">
        <f t="shared" si="49"/>
        <v>-40.493566638056095</v>
      </c>
      <c r="BI66" s="162">
        <f t="shared" si="50"/>
        <v>-97.712851293993737</v>
      </c>
      <c r="BJ66" s="88"/>
      <c r="BK66" s="88"/>
      <c r="BL66" s="88"/>
      <c r="BM66" s="88"/>
      <c r="BN66" s="42"/>
      <c r="BO66" s="42"/>
      <c r="BP66" s="42"/>
    </row>
    <row r="67" spans="1:68" s="86" customFormat="1">
      <c r="A67" s="86">
        <v>3</v>
      </c>
      <c r="B67" s="86">
        <f t="shared" si="42"/>
        <v>114.81536214968828</v>
      </c>
      <c r="C67" s="86" t="str">
        <f t="shared" si="0"/>
        <v>721.406196497425j</v>
      </c>
      <c r="D67" s="86">
        <f t="shared" si="1"/>
        <v>0.99999983770307932</v>
      </c>
      <c r="E67" s="86" t="str">
        <f t="shared" si="2"/>
        <v>-0.000632812453067917j</v>
      </c>
      <c r="F67" s="86" t="str">
        <f t="shared" si="3"/>
        <v>0.999999837703079-0.000632812453067917j</v>
      </c>
      <c r="G67" s="86">
        <f t="shared" si="4"/>
        <v>3.2944616206539738E-7</v>
      </c>
      <c r="H67" s="86">
        <f t="shared" si="5"/>
        <v>-3.6257483828800702E-2</v>
      </c>
      <c r="J67" s="86">
        <f t="shared" si="6"/>
        <v>8.3707025411061284</v>
      </c>
      <c r="K67" s="86" t="str">
        <f t="shared" si="7"/>
        <v>1+0.0309715138860555j</v>
      </c>
      <c r="L67" s="86">
        <f t="shared" si="8"/>
        <v>0.99993921623841731</v>
      </c>
      <c r="M67" s="86" t="str">
        <f t="shared" si="9"/>
        <v>0.00212469760727758j</v>
      </c>
      <c r="N67" s="86" t="str">
        <f t="shared" si="10"/>
        <v>0.999939216238417+0.00212469760727758j</v>
      </c>
      <c r="O67" s="86" t="str">
        <f t="shared" si="11"/>
        <v>1.00012208511844+0.0288483103936399j</v>
      </c>
      <c r="P67" s="86" t="str">
        <f t="shared" si="12"/>
        <v>8.37172447931728+0.24148062511866j</v>
      </c>
      <c r="R67" s="86">
        <f t="shared" si="13"/>
        <v>11.958146487294469</v>
      </c>
      <c r="S67" s="86" t="str">
        <f t="shared" si="14"/>
        <v>1+0.0000541054647373069j</v>
      </c>
      <c r="T67" s="86" t="str">
        <f t="shared" si="15"/>
        <v>0.999939216238417+0.00212469760727758j</v>
      </c>
      <c r="U67" s="86" t="str">
        <f t="shared" si="16"/>
        <v>1.00005638728485-0.00207083782178191j</v>
      </c>
      <c r="V67" s="86" t="str">
        <f t="shared" si="17"/>
        <v>11.9588207747067-0.0247633820242979j</v>
      </c>
      <c r="X67" s="86" t="str">
        <f t="shared" si="18"/>
        <v>0.346516123947227+0.00977572624304425j</v>
      </c>
      <c r="Y67" s="86">
        <f t="shared" si="19"/>
        <v>-9.2020759267380186</v>
      </c>
      <c r="Z67" s="86">
        <f t="shared" si="20"/>
        <v>-178.38403094829206</v>
      </c>
      <c r="AB67" s="86" t="str">
        <f t="shared" si="21"/>
        <v>5.56159057871699-0.0115165027353529j</v>
      </c>
      <c r="AC67" s="86">
        <f t="shared" si="22"/>
        <v>14.903998916857898</v>
      </c>
      <c r="AD67" s="86">
        <f t="shared" si="23"/>
        <v>179.88135659232128</v>
      </c>
      <c r="AF67" s="86" t="str">
        <f t="shared" si="24"/>
        <v>4.13007594224362-0.0385372247586566j</v>
      </c>
      <c r="AG67" s="86">
        <f t="shared" si="25"/>
        <v>12.319538850454821</v>
      </c>
      <c r="AH67" s="86">
        <f t="shared" si="26"/>
        <v>179.46539572481569</v>
      </c>
      <c r="AJ67" s="86" t="str">
        <f t="shared" si="27"/>
        <v>104998.669184516-373.809917981174j</v>
      </c>
      <c r="AK67" s="86" t="str">
        <f t="shared" si="28"/>
        <v>20000-2.8856247859897E-07j</v>
      </c>
      <c r="AL67" s="86" t="str">
        <f t="shared" si="43"/>
        <v>10000-30804035.6876829j</v>
      </c>
      <c r="AM67" s="86" t="str">
        <f t="shared" si="44"/>
        <v>963.139071818403-9559873.36008538j</v>
      </c>
      <c r="AN67" s="86" t="str">
        <f t="shared" si="45"/>
        <v>10963.1390718184-9559873.36008538j</v>
      </c>
      <c r="AO67" s="86" t="str">
        <f t="shared" si="46"/>
        <v>19999.8644822619-41.841119817979j</v>
      </c>
      <c r="AP67" s="86" t="str">
        <f t="shared" si="47"/>
        <v>0.160000272554382+0.000478482602321459j</v>
      </c>
      <c r="AQ67" s="86" t="str">
        <f t="shared" si="29"/>
        <v>1+0.0220750296128212j</v>
      </c>
      <c r="AR67" s="86">
        <f t="shared" si="30"/>
        <v>9.9999840749368484E-8</v>
      </c>
      <c r="AS67" s="86" t="str">
        <f t="shared" si="31"/>
        <v>8.67902152820157E-07j</v>
      </c>
      <c r="AT67" s="86" t="str">
        <f t="shared" si="32"/>
        <v>9.99998407493685E-08+8.67902152820157E-07j</v>
      </c>
      <c r="AU67" s="86" t="str">
        <f t="shared" si="33"/>
        <v>23.4179162867964-170.1323261163j</v>
      </c>
      <c r="AW67" s="86" t="str">
        <f t="shared" si="48"/>
        <v>3.81463026782933-27.2119269774051j</v>
      </c>
      <c r="AX67" s="86">
        <f t="shared" si="34"/>
        <v>28.779701750660834</v>
      </c>
      <c r="AY67" s="86">
        <f t="shared" si="35"/>
        <v>97.979853869022108</v>
      </c>
      <c r="AZ67" s="86" t="str">
        <f t="shared" si="36"/>
        <v>20.9020255273788-151.385527906185j</v>
      </c>
      <c r="BA67" s="86">
        <f t="shared" si="37"/>
        <v>43.68370066751875</v>
      </c>
      <c r="BB67" s="86">
        <f t="shared" si="38"/>
        <v>97.86121046134339</v>
      </c>
      <c r="BD67" s="86" t="str">
        <f t="shared" si="39"/>
        <v>14.7060405516719-112.534330215474j</v>
      </c>
      <c r="BE67" s="86">
        <f t="shared" si="40"/>
        <v>41.099240601115703</v>
      </c>
      <c r="BF67" s="86">
        <f t="shared" si="41"/>
        <v>97.445249593837787</v>
      </c>
      <c r="BH67" s="86">
        <f t="shared" si="49"/>
        <v>-40.099240601115703</v>
      </c>
      <c r="BI67" s="162">
        <f t="shared" si="50"/>
        <v>-97.445249593837787</v>
      </c>
      <c r="BJ67" s="88"/>
      <c r="BK67" s="88"/>
      <c r="BL67" s="88"/>
      <c r="BM67" s="88"/>
      <c r="BN67" s="42"/>
      <c r="BO67" s="42"/>
      <c r="BP67" s="42"/>
    </row>
    <row r="68" spans="1:68" s="86" customFormat="1">
      <c r="A68" s="86">
        <v>4</v>
      </c>
      <c r="B68" s="86">
        <f t="shared" si="42"/>
        <v>120.2264434617413</v>
      </c>
      <c r="C68" s="86" t="str">
        <f t="shared" si="0"/>
        <v>755.40502309327j</v>
      </c>
      <c r="D68" s="86">
        <f t="shared" si="1"/>
        <v>0.99999982204496518</v>
      </c>
      <c r="E68" s="86" t="str">
        <f t="shared" si="2"/>
        <v>-0.000662635985169535j</v>
      </c>
      <c r="F68" s="86" t="str">
        <f t="shared" si="3"/>
        <v>0.999999822044965-0.000662635985169535j</v>
      </c>
      <c r="G68" s="86">
        <f t="shared" si="4"/>
        <v>3.6123054646303239E-7</v>
      </c>
      <c r="H68" s="86">
        <f t="shared" si="5"/>
        <v>-3.7966246503170702E-2</v>
      </c>
      <c r="J68" s="86">
        <f t="shared" si="6"/>
        <v>8.3707025411061284</v>
      </c>
      <c r="K68" s="86" t="str">
        <f t="shared" si="7"/>
        <v>1+0.0324311563664436j</v>
      </c>
      <c r="L68" s="86">
        <f t="shared" si="8"/>
        <v>0.99993335193074506</v>
      </c>
      <c r="M68" s="86" t="str">
        <f t="shared" si="9"/>
        <v>0.00222483152055579j</v>
      </c>
      <c r="N68" s="86" t="str">
        <f t="shared" si="10"/>
        <v>0.999933351930745+0.00222483152055579j</v>
      </c>
      <c r="O68" s="86" t="str">
        <f t="shared" si="11"/>
        <v>1.00013386479138+0.0302080403268442j</v>
      </c>
      <c r="P68" s="86" t="str">
        <f t="shared" si="12"/>
        <v>8.3718230834555+0.252862519925751j</v>
      </c>
      <c r="R68" s="86">
        <f t="shared" si="13"/>
        <v>11.958146487294469</v>
      </c>
      <c r="S68" s="86" t="str">
        <f t="shared" si="14"/>
        <v>1+0.0000566553767319952j</v>
      </c>
      <c r="T68" s="86" t="str">
        <f t="shared" si="15"/>
        <v>0.999933351930745+0.00222483152055579j</v>
      </c>
      <c r="U68" s="86" t="str">
        <f t="shared" si="16"/>
        <v>1.00006182773575-0.002168458223673j</v>
      </c>
      <c r="V68" s="86" t="str">
        <f t="shared" si="17"/>
        <v>11.9588858324155-0.0259307410902601j</v>
      </c>
      <c r="X68" s="86" t="str">
        <f t="shared" si="18"/>
        <v>0.346520810050965+0.0102364914582308j</v>
      </c>
      <c r="Y68" s="86">
        <f t="shared" si="19"/>
        <v>-9.2016253318530836</v>
      </c>
      <c r="Z68" s="86">
        <f t="shared" si="20"/>
        <v>-178.30793065487143</v>
      </c>
      <c r="AB68" s="86" t="str">
        <f t="shared" si="21"/>
        <v>5.5616208345714-0.012059396830477j</v>
      </c>
      <c r="AC68" s="86">
        <f t="shared" si="22"/>
        <v>14.904047966080121</v>
      </c>
      <c r="AD68" s="86">
        <f t="shared" si="23"/>
        <v>179.87576437165581</v>
      </c>
      <c r="AF68" s="86" t="str">
        <f t="shared" si="24"/>
        <v>4.13005704467687-0.0403533982428844j</v>
      </c>
      <c r="AG68" s="86">
        <f t="shared" si="25"/>
        <v>12.319535587364729</v>
      </c>
      <c r="AH68" s="86">
        <f t="shared" si="26"/>
        <v>179.44020002323393</v>
      </c>
      <c r="AJ68" s="86" t="str">
        <f t="shared" si="27"/>
        <v>104998.540791623-391.426558023733j</v>
      </c>
      <c r="AK68" s="86" t="str">
        <f t="shared" si="28"/>
        <v>20000-3.02162009237308E-07j</v>
      </c>
      <c r="AL68" s="86" t="str">
        <f t="shared" si="43"/>
        <v>10000-29417625.7012769j</v>
      </c>
      <c r="AM68" s="86" t="str">
        <f t="shared" si="44"/>
        <v>963.13906716075-9129608.20205286j</v>
      </c>
      <c r="AN68" s="86" t="str">
        <f t="shared" si="45"/>
        <v>10963.1390671607-9129608.20205286j</v>
      </c>
      <c r="AO68" s="86" t="str">
        <f t="shared" si="46"/>
        <v>19999.8514079061-43.8129866066977j</v>
      </c>
      <c r="AP68" s="86" t="str">
        <f t="shared" si="47"/>
        <v>0.160000298849927+0.00050103277695204j</v>
      </c>
      <c r="AQ68" s="86" t="str">
        <f t="shared" si="29"/>
        <v>1+0.0231153937066541j</v>
      </c>
      <c r="AR68" s="86">
        <f t="shared" si="30"/>
        <v>9.9999825385154824E-8</v>
      </c>
      <c r="AS68" s="86" t="str">
        <f t="shared" si="31"/>
        <v>9.0880512113282E-07j</v>
      </c>
      <c r="AT68" s="86" t="str">
        <f t="shared" si="32"/>
        <v>9.99998253851548E-08+9.0880512113282E-07j</v>
      </c>
      <c r="AU68" s="86" t="str">
        <f t="shared" si="33"/>
        <v>21.7137241174137-162.662630240826j</v>
      </c>
      <c r="AW68" s="86" t="str">
        <f t="shared" si="48"/>
        <v>3.54203789590019-26.0170506754931j</v>
      </c>
      <c r="AX68" s="86">
        <f t="shared" si="34"/>
        <v>28.384920409935997</v>
      </c>
      <c r="AY68" s="86">
        <f t="shared" si="35"/>
        <v>97.752751797060057</v>
      </c>
      <c r="AZ68" s="86" t="str">
        <f t="shared" si="36"/>
        <v>19.3857218202256-144.739685931498j</v>
      </c>
      <c r="BA68" s="86">
        <f t="shared" si="37"/>
        <v>43.28896837601615</v>
      </c>
      <c r="BB68" s="86">
        <f t="shared" si="38"/>
        <v>97.628516168715862</v>
      </c>
      <c r="BD68" s="86" t="str">
        <f t="shared" si="39"/>
        <v>13.5789421574616-107.59483668984j</v>
      </c>
      <c r="BE68" s="86">
        <f t="shared" si="40"/>
        <v>40.70445599730072</v>
      </c>
      <c r="BF68" s="86">
        <f t="shared" si="41"/>
        <v>97.192951820294027</v>
      </c>
      <c r="BH68" s="86">
        <f t="shared" si="49"/>
        <v>-39.70445599730072</v>
      </c>
      <c r="BI68" s="162">
        <f t="shared" si="50"/>
        <v>-97.192951820294027</v>
      </c>
      <c r="BJ68" s="88"/>
      <c r="BK68" s="88"/>
      <c r="BL68" s="88"/>
      <c r="BM68" s="88"/>
      <c r="BN68" s="42"/>
      <c r="BO68" s="42"/>
      <c r="BP68" s="42"/>
    </row>
    <row r="69" spans="1:68" s="86" customFormat="1">
      <c r="A69" s="86">
        <v>5</v>
      </c>
      <c r="B69" s="86">
        <f t="shared" si="42"/>
        <v>125.89254117941672</v>
      </c>
      <c r="C69" s="86" t="str">
        <f t="shared" si="0"/>
        <v>791.006165022012j</v>
      </c>
      <c r="D69" s="86">
        <f t="shared" si="1"/>
        <v>0.99999980487618434</v>
      </c>
      <c r="E69" s="86" t="str">
        <f t="shared" si="2"/>
        <v>-0.000693865057036853j</v>
      </c>
      <c r="F69" s="86" t="str">
        <f t="shared" si="3"/>
        <v>0.999999804876184-0.000693865057036853j</v>
      </c>
      <c r="G69" s="86">
        <f t="shared" si="4"/>
        <v>3.9608142830309245E-7</v>
      </c>
      <c r="H69" s="86">
        <f t="shared" si="5"/>
        <v>-3.9755540696983505E-2</v>
      </c>
      <c r="J69" s="86">
        <f t="shared" si="6"/>
        <v>8.3707025411061284</v>
      </c>
      <c r="K69" s="86" t="str">
        <f t="shared" si="7"/>
        <v>1+0.0339595896776057j</v>
      </c>
      <c r="L69" s="86">
        <f t="shared" si="8"/>
        <v>0.9999269218452469</v>
      </c>
      <c r="M69" s="86" t="str">
        <f t="shared" si="9"/>
        <v>0.00232968459977746j</v>
      </c>
      <c r="N69" s="86" t="str">
        <f t="shared" si="10"/>
        <v>0.999926921845247+0.00232968459977746j</v>
      </c>
      <c r="O69" s="86" t="str">
        <f t="shared" si="11"/>
        <v>1.00014678117265+0.0316318747230269j</v>
      </c>
      <c r="P69" s="86" t="str">
        <f t="shared" si="12"/>
        <v>8.37193120264102+0.264781014123992j</v>
      </c>
      <c r="R69" s="86">
        <f t="shared" si="13"/>
        <v>11.958146487294469</v>
      </c>
      <c r="S69" s="86" t="str">
        <f t="shared" si="14"/>
        <v>1+0.0000593254623766509j</v>
      </c>
      <c r="T69" s="86" t="str">
        <f t="shared" si="15"/>
        <v>0.999926921845247+0.00232968459977746j</v>
      </c>
      <c r="U69" s="86" t="str">
        <f t="shared" si="16"/>
        <v>1.00006779313371-0.00227068301134488j</v>
      </c>
      <c r="V69" s="86" t="str">
        <f t="shared" si="17"/>
        <v>11.9589571675182-0.027153160075873j</v>
      </c>
      <c r="X69" s="86" t="str">
        <f t="shared" si="18"/>
        <v>0.346525948346958+0.0107189791929127j</v>
      </c>
      <c r="Y69" s="86">
        <f t="shared" si="19"/>
        <v>-9.2011313067548315</v>
      </c>
      <c r="Z69" s="86">
        <f t="shared" si="20"/>
        <v>-178.22825244767731</v>
      </c>
      <c r="AB69" s="86" t="str">
        <f t="shared" si="21"/>
        <v>5.56165400980185-0.0126278971903125j</v>
      </c>
      <c r="AC69" s="86">
        <f t="shared" si="22"/>
        <v>14.904101747776169</v>
      </c>
      <c r="AD69" s="86">
        <f t="shared" si="23"/>
        <v>179.86990848971757</v>
      </c>
      <c r="AF69" s="86" t="str">
        <f t="shared" si="24"/>
        <v>4.13003632379935-0.0422551609056928j</v>
      </c>
      <c r="AG69" s="86">
        <f t="shared" si="25"/>
        <v>12.319532009312901</v>
      </c>
      <c r="AH69" s="86">
        <f t="shared" si="26"/>
        <v>179.41381679914537</v>
      </c>
      <c r="AJ69" s="86" t="str">
        <f t="shared" si="27"/>
        <v>104998.400011976-409.873373822351j</v>
      </c>
      <c r="AK69" s="86" t="str">
        <f t="shared" si="28"/>
        <v>20000-3.16402466008804E-07j</v>
      </c>
      <c r="AL69" s="86" t="str">
        <f t="shared" si="43"/>
        <v>10000-28093614.4430731j</v>
      </c>
      <c r="AM69" s="86" t="str">
        <f t="shared" si="44"/>
        <v>963.13906205374-8718708.16704475j</v>
      </c>
      <c r="AN69" s="86" t="str">
        <f t="shared" si="45"/>
        <v>10963.1390620537-8718708.16704475j</v>
      </c>
      <c r="AO69" s="86" t="str">
        <f t="shared" si="46"/>
        <v>19999.8370721904-45.8777780307057j</v>
      </c>
      <c r="AP69" s="86" t="str">
        <f t="shared" si="47"/>
        <v>0.160000327682418+0.000524645706247546j</v>
      </c>
      <c r="AQ69" s="86" t="str">
        <f t="shared" si="29"/>
        <v>1+0.0242047886496736j</v>
      </c>
      <c r="AR69" s="86">
        <f t="shared" si="30"/>
        <v>9.9999808538629549E-8</v>
      </c>
      <c r="AS69" s="86" t="str">
        <f t="shared" si="31"/>
        <v>9.51635786953032E-07j</v>
      </c>
      <c r="AT69" s="86" t="str">
        <f t="shared" si="32"/>
        <v>9.99998085386295E-08+9.51635786953032E-07j</v>
      </c>
      <c r="AU69" s="86" t="str">
        <f t="shared" si="33"/>
        <v>20.1560489639797-155.505289935057j</v>
      </c>
      <c r="AW69" s="86" t="str">
        <f t="shared" si="48"/>
        <v>3.29288153890796-24.8721337372735j</v>
      </c>
      <c r="AX69" s="86">
        <f t="shared" si="34"/>
        <v>27.989723498499597</v>
      </c>
      <c r="AY69" s="86">
        <f t="shared" si="35"/>
        <v>97.541667166961361</v>
      </c>
      <c r="AZ69" s="86" t="str">
        <f t="shared" si="36"/>
        <v>17.999785066932-138.371784501768j</v>
      </c>
      <c r="BA69" s="86">
        <f t="shared" si="37"/>
        <v>42.893825246275753</v>
      </c>
      <c r="BB69" s="86">
        <f t="shared" si="38"/>
        <v>97.411575656678963</v>
      </c>
      <c r="BD69" s="86" t="str">
        <f t="shared" si="39"/>
        <v>12.5487443525218-102.861957024605j</v>
      </c>
      <c r="BE69" s="86">
        <f t="shared" si="40"/>
        <v>40.309255507812509</v>
      </c>
      <c r="BF69" s="86">
        <f t="shared" si="41"/>
        <v>96.955483966106712</v>
      </c>
      <c r="BH69" s="86">
        <f t="shared" si="49"/>
        <v>-39.309255507812509</v>
      </c>
      <c r="BI69" s="162">
        <f t="shared" si="50"/>
        <v>-96.955483966106712</v>
      </c>
      <c r="BJ69" s="88"/>
      <c r="BK69" s="88"/>
      <c r="BL69" s="88"/>
      <c r="BM69" s="88"/>
      <c r="BN69" s="42"/>
      <c r="BO69" s="42"/>
      <c r="BP69" s="42"/>
    </row>
    <row r="70" spans="1:68" s="86" customFormat="1">
      <c r="A70" s="86">
        <v>6</v>
      </c>
      <c r="B70" s="86">
        <f t="shared" si="42"/>
        <v>131.82567385564073</v>
      </c>
      <c r="C70" s="86" t="str">
        <f t="shared" si="0"/>
        <v>828.28513707881j</v>
      </c>
      <c r="D70" s="86">
        <f t="shared" si="1"/>
        <v>0.9999997860509906</v>
      </c>
      <c r="E70" s="86" t="str">
        <f t="shared" si="2"/>
        <v>-0.000726565909718254j</v>
      </c>
      <c r="F70" s="86" t="str">
        <f t="shared" si="3"/>
        <v>0.999999786050991-0.000726565909718254j</v>
      </c>
      <c r="G70" s="86">
        <f t="shared" si="4"/>
        <v>4.3429467477254563E-7</v>
      </c>
      <c r="H70" s="86">
        <f t="shared" si="5"/>
        <v>-4.1629161746139155E-2</v>
      </c>
      <c r="J70" s="86">
        <f t="shared" si="6"/>
        <v>8.3707025411061284</v>
      </c>
      <c r="K70" s="86" t="str">
        <f t="shared" si="7"/>
        <v>1+0.0355600558315156j</v>
      </c>
      <c r="L70" s="86">
        <f t="shared" si="8"/>
        <v>0.9999198713966988</v>
      </c>
      <c r="M70" s="86" t="str">
        <f t="shared" si="9"/>
        <v>0.00243947925238151j</v>
      </c>
      <c r="N70" s="86" t="str">
        <f t="shared" si="10"/>
        <v>0.999919871396699+0.00243947925238151j</v>
      </c>
      <c r="O70" s="86" t="str">
        <f t="shared" si="11"/>
        <v>1.00016094397571+0.0331228380463946j</v>
      </c>
      <c r="P70" s="86" t="str">
        <f t="shared" si="12"/>
        <v>8.37204975525258+0.277261424603602j</v>
      </c>
      <c r="R70" s="86">
        <f t="shared" si="13"/>
        <v>11.958146487294469</v>
      </c>
      <c r="S70" s="86" t="str">
        <f t="shared" si="14"/>
        <v>1+0.0000621213852809107j</v>
      </c>
      <c r="T70" s="86" t="str">
        <f t="shared" si="15"/>
        <v>0.999919871396699+0.00243947925238151j</v>
      </c>
      <c r="U70" s="86" t="str">
        <f t="shared" si="16"/>
        <v>1.00007433413725-0.00237772972784829j</v>
      </c>
      <c r="V70" s="86" t="str">
        <f t="shared" si="17"/>
        <v>11.9590353857967-0.0284332403928047j</v>
      </c>
      <c r="X70" s="86" t="str">
        <f t="shared" si="18"/>
        <v>0.346531582479186+0.0112242142830872j</v>
      </c>
      <c r="Y70" s="86">
        <f t="shared" si="19"/>
        <v>-9.2005896699336258</v>
      </c>
      <c r="Z70" s="86">
        <f t="shared" si="20"/>
        <v>-178.14482897439143</v>
      </c>
      <c r="AB70" s="86" t="str">
        <f t="shared" si="21"/>
        <v>5.56169038613435-0.0132232136320227j</v>
      </c>
      <c r="AC70" s="86">
        <f t="shared" si="22"/>
        <v>14.904160718585802</v>
      </c>
      <c r="AD70" s="86">
        <f t="shared" si="23"/>
        <v>179.8637765045257</v>
      </c>
      <c r="AF70" s="86" t="str">
        <f t="shared" si="24"/>
        <v>4.13001360367955-0.0442465457825293j</v>
      </c>
      <c r="AG70" s="86">
        <f t="shared" si="25"/>
        <v>12.319528085883103</v>
      </c>
      <c r="AH70" s="86">
        <f t="shared" si="26"/>
        <v>179.38619007364665</v>
      </c>
      <c r="AJ70" s="86" t="str">
        <f t="shared" si="27"/>
        <v>104998.245650597-429.189479849732j</v>
      </c>
      <c r="AK70" s="86" t="str">
        <f t="shared" si="28"/>
        <v>20000-3.31314054831524E-07j</v>
      </c>
      <c r="AL70" s="86" t="str">
        <f t="shared" si="43"/>
        <v>10000-26829193.5076795j</v>
      </c>
      <c r="AM70" s="86" t="str">
        <f t="shared" si="44"/>
        <v>963.139056454012-8326301.68099654j</v>
      </c>
      <c r="AN70" s="86" t="str">
        <f t="shared" si="45"/>
        <v>10963.139056454-8326301.68099654j</v>
      </c>
      <c r="AO70" s="86" t="str">
        <f t="shared" si="46"/>
        <v>19999.8213534276-48.0398725178148j</v>
      </c>
      <c r="AP70" s="86" t="str">
        <f t="shared" si="47"/>
        <v>0.160000359296613+0.000549371475948006j</v>
      </c>
      <c r="AQ70" s="86" t="str">
        <f t="shared" si="29"/>
        <v>1+0.0253455251946116j</v>
      </c>
      <c r="AR70" s="86">
        <f t="shared" si="30"/>
        <v>9.9999790066781892E-8</v>
      </c>
      <c r="AS70" s="86" t="str">
        <f t="shared" si="31"/>
        <v>9.96484999865404E-07j</v>
      </c>
      <c r="AT70" s="86" t="str">
        <f t="shared" si="32"/>
        <v>9.99997900667819E-08+9.96484999865404E-07j</v>
      </c>
      <c r="AU70" s="86" t="str">
        <f t="shared" si="33"/>
        <v>18.7325674815738-148.649249315783j</v>
      </c>
      <c r="AW70" s="86" t="str">
        <f t="shared" si="48"/>
        <v>3.06519002876029-23.7754075783141j</v>
      </c>
      <c r="AX70" s="86">
        <f t="shared" si="34"/>
        <v>27.594150460506604</v>
      </c>
      <c r="AY70" s="86">
        <f t="shared" si="35"/>
        <v>97.346205547008566</v>
      </c>
      <c r="AZ70" s="86" t="str">
        <f t="shared" si="36"/>
        <v>16.7332506210345-132.271987417308j</v>
      </c>
      <c r="BA70" s="86">
        <f t="shared" si="37"/>
        <v>42.498311179092383</v>
      </c>
      <c r="BB70" s="86">
        <f t="shared" si="38"/>
        <v>97.209982051534283</v>
      </c>
      <c r="BD70" s="86" t="str">
        <f t="shared" si="39"/>
        <v>11.6072968567307-98.3283808024024j</v>
      </c>
      <c r="BE70" s="86">
        <f t="shared" si="40"/>
        <v>39.913678546389676</v>
      </c>
      <c r="BF70" s="86">
        <f t="shared" si="41"/>
        <v>96.732395620655211</v>
      </c>
      <c r="BH70" s="86">
        <f t="shared" si="49"/>
        <v>-38.913678546389676</v>
      </c>
      <c r="BI70" s="162">
        <f t="shared" si="50"/>
        <v>-96.732395620655211</v>
      </c>
      <c r="BJ70" s="88"/>
      <c r="BK70" s="88"/>
      <c r="BL70" s="88"/>
      <c r="BM70" s="88"/>
      <c r="BN70" s="42"/>
      <c r="BO70" s="42"/>
      <c r="BP70" s="42"/>
    </row>
    <row r="71" spans="1:68" s="86" customFormat="1">
      <c r="A71" s="86">
        <v>7</v>
      </c>
      <c r="B71" s="86">
        <f t="shared" si="42"/>
        <v>138.03842646028849</v>
      </c>
      <c r="C71" s="86" t="str">
        <f t="shared" si="0"/>
        <v>867.321012961474j</v>
      </c>
      <c r="D71" s="86">
        <f t="shared" si="1"/>
        <v>0.99999976540957614</v>
      </c>
      <c r="E71" s="86" t="str">
        <f t="shared" si="2"/>
        <v>-0.000760807906106556j</v>
      </c>
      <c r="F71" s="86" t="str">
        <f t="shared" si="3"/>
        <v>0.999999765409576-0.000760807906106556j</v>
      </c>
      <c r="G71" s="86">
        <f t="shared" si="4"/>
        <v>4.7619465278185182E-7</v>
      </c>
      <c r="H71" s="86">
        <f t="shared" si="5"/>
        <v>-4.3591083855551542E-2</v>
      </c>
      <c r="J71" s="86">
        <f t="shared" si="6"/>
        <v>8.3707025411061284</v>
      </c>
      <c r="K71" s="86" t="str">
        <f t="shared" si="7"/>
        <v>1+0.0372359496314639j</v>
      </c>
      <c r="L71" s="86">
        <f t="shared" si="8"/>
        <v>0.99991214073359291</v>
      </c>
      <c r="M71" s="86" t="str">
        <f t="shared" si="9"/>
        <v>0.00255444836754655j</v>
      </c>
      <c r="N71" s="86" t="str">
        <f t="shared" si="10"/>
        <v>0.999912140733593+0.00255444836754655j</v>
      </c>
      <c r="O71" s="86" t="str">
        <f t="shared" si="11"/>
        <v>1.00017647350822+0.0346840977908403j</v>
      </c>
      <c r="P71" s="86" t="str">
        <f t="shared" si="12"/>
        <v>8.37217974834982+0.29033026551376j</v>
      </c>
      <c r="R71" s="86">
        <f t="shared" si="13"/>
        <v>11.958146487294469</v>
      </c>
      <c r="S71" s="86" t="str">
        <f t="shared" si="14"/>
        <v>1+0.0000650490759721106j</v>
      </c>
      <c r="T71" s="86" t="str">
        <f t="shared" si="15"/>
        <v>0.999912140733593+0.00255444836754655j</v>
      </c>
      <c r="U71" s="86" t="str">
        <f t="shared" si="16"/>
        <v>1.00008150629489-0.00248982624950413j</v>
      </c>
      <c r="V71" s="86" t="str">
        <f t="shared" si="17"/>
        <v>11.9591211515084-0.0297737070194814j</v>
      </c>
      <c r="X71" s="86" t="str">
        <f t="shared" si="18"/>
        <v>0.346537760305806+0.0117532700245924j</v>
      </c>
      <c r="Y71" s="86">
        <f t="shared" si="19"/>
        <v>-9.1999958381835043</v>
      </c>
      <c r="Z71" s="86">
        <f t="shared" si="20"/>
        <v>-178.05748518320365</v>
      </c>
      <c r="AB71" s="86" t="str">
        <f t="shared" si="21"/>
        <v>5.56173027248963-0.0138466134389483j</v>
      </c>
      <c r="AC71" s="86">
        <f t="shared" si="22"/>
        <v>14.904225379216804</v>
      </c>
      <c r="AD71" s="86">
        <f t="shared" si="23"/>
        <v>179.85735538535454</v>
      </c>
      <c r="AF71" s="86" t="str">
        <f t="shared" si="24"/>
        <v>4.12998869140809-0.0463317758823279j</v>
      </c>
      <c r="AG71" s="86">
        <f t="shared" si="25"/>
        <v>12.319523783718873</v>
      </c>
      <c r="AH71" s="86">
        <f t="shared" si="26"/>
        <v>179.35726122775009</v>
      </c>
      <c r="AJ71" s="86" t="str">
        <f t="shared" si="27"/>
        <v>104998.076397232-449.415832430575j</v>
      </c>
      <c r="AK71" s="86" t="str">
        <f t="shared" si="28"/>
        <v>20000-3.4692840518459E-07j</v>
      </c>
      <c r="AL71" s="86" t="str">
        <f t="shared" si="43"/>
        <v>10000-25621680.8887684j</v>
      </c>
      <c r="AM71" s="86" t="str">
        <f t="shared" si="44"/>
        <v>963.139050314031-7951556.39714043j</v>
      </c>
      <c r="AN71" s="86" t="str">
        <f t="shared" si="45"/>
        <v>10963.139050314-7951556.39714043j</v>
      </c>
      <c r="AO71" s="86" t="str">
        <f t="shared" si="46"/>
        <v>19999.804118191-50.30385470029j</v>
      </c>
      <c r="AP71" s="86" t="str">
        <f t="shared" si="47"/>
        <v>0.160000393960886+0.000575262532210648j</v>
      </c>
      <c r="AQ71" s="86" t="str">
        <f t="shared" si="29"/>
        <v>1+0.0265400229966211j</v>
      </c>
      <c r="AR71" s="86">
        <f t="shared" si="30"/>
        <v>9.9999769812803702E-8</v>
      </c>
      <c r="AS71" s="86" t="str">
        <f t="shared" si="31"/>
        <v>1.04344789106356E-06j</v>
      </c>
      <c r="AT71" s="86" t="str">
        <f t="shared" si="32"/>
        <v>9.99997698128037E-08+1.04344789106356E-06j</v>
      </c>
      <c r="AU71" s="86" t="str">
        <f t="shared" si="33"/>
        <v>17.431947152772-142.083577500185j</v>
      </c>
      <c r="AW71" s="86" t="str">
        <f t="shared" si="48"/>
        <v>2.85715068444505-22.7251236014178j</v>
      </c>
      <c r="AX71" s="86">
        <f t="shared" si="34"/>
        <v>27.198237766658213</v>
      </c>
      <c r="AY71" s="86">
        <f t="shared" si="35"/>
        <v>97.165998743009126</v>
      </c>
      <c r="AZ71" s="86" t="str">
        <f t="shared" si="36"/>
        <v>15.5760354528814-126.430569741138j</v>
      </c>
      <c r="BA71" s="86">
        <f t="shared" si="37"/>
        <v>42.102463145874999</v>
      </c>
      <c r="BB71" s="86">
        <f t="shared" si="38"/>
        <v>97.023354128363692</v>
      </c>
      <c r="BD71" s="86" t="str">
        <f t="shared" si="39"/>
        <v>10.7471046828079-93.98688034988j</v>
      </c>
      <c r="BE71" s="86">
        <f t="shared" si="40"/>
        <v>39.51776155037706</v>
      </c>
      <c r="BF71" s="86">
        <f t="shared" si="41"/>
        <v>96.523259970759256</v>
      </c>
      <c r="BH71" s="86">
        <f t="shared" si="49"/>
        <v>-38.51776155037706</v>
      </c>
      <c r="BI71" s="162">
        <f t="shared" si="50"/>
        <v>-96.523259970759256</v>
      </c>
      <c r="BJ71" s="88"/>
      <c r="BK71" s="88"/>
      <c r="BL71" s="88"/>
      <c r="BM71" s="88"/>
      <c r="BN71" s="42"/>
      <c r="BO71" s="42"/>
      <c r="BP71" s="42"/>
    </row>
    <row r="72" spans="1:68" s="86" customFormat="1">
      <c r="A72" s="86">
        <v>8</v>
      </c>
      <c r="B72" s="86">
        <f t="shared" si="42"/>
        <v>144.54397707459273</v>
      </c>
      <c r="C72" s="86" t="str">
        <f t="shared" si="0"/>
        <v>908.196592996384j</v>
      </c>
      <c r="D72" s="86">
        <f t="shared" si="1"/>
        <v>0.99999974277671522</v>
      </c>
      <c r="E72" s="86" t="str">
        <f t="shared" si="2"/>
        <v>-0.000796663678067003j</v>
      </c>
      <c r="F72" s="86" t="str">
        <f t="shared" si="3"/>
        <v>0.999999742776715-0.000796663678067003j</v>
      </c>
      <c r="G72" s="86">
        <f t="shared" si="4"/>
        <v>5.2213707758617907E-7</v>
      </c>
      <c r="H72" s="86">
        <f t="shared" si="5"/>
        <v>-4.5645468529035657E-2</v>
      </c>
      <c r="J72" s="86">
        <f t="shared" si="6"/>
        <v>8.3707025411061284</v>
      </c>
      <c r="K72" s="86" t="str">
        <f t="shared" si="7"/>
        <v>1+0.0389908258728912j</v>
      </c>
      <c r="L72" s="86">
        <f t="shared" si="8"/>
        <v>0.9999036642300555</v>
      </c>
      <c r="M72" s="86" t="str">
        <f t="shared" si="9"/>
        <v>0.00267483581018001j</v>
      </c>
      <c r="N72" s="86" t="str">
        <f t="shared" si="10"/>
        <v>0.999903664230056+0.00267483581018001j</v>
      </c>
      <c r="O72" s="86" t="str">
        <f t="shared" si="11"/>
        <v>1.00019350169608+0.0363189712935083j</v>
      </c>
      <c r="P72" s="86" t="str">
        <f t="shared" si="12"/>
        <v>8.37232228624521+0.30401530529693j</v>
      </c>
      <c r="R72" s="86">
        <f t="shared" si="13"/>
        <v>11.958146487294469</v>
      </c>
      <c r="S72" s="86" t="str">
        <f t="shared" si="14"/>
        <v>1+0.0000681147444747288j</v>
      </c>
      <c r="T72" s="86" t="str">
        <f t="shared" si="15"/>
        <v>0.999903664230056+0.00267483581018001j</v>
      </c>
      <c r="U72" s="86" t="str">
        <f t="shared" si="16"/>
        <v>1.00008937051741-0.00260721128487216j</v>
      </c>
      <c r="V72" s="86" t="str">
        <f t="shared" si="17"/>
        <v>11.9592151930333-0.0311774144678285j</v>
      </c>
      <c r="X72" s="86" t="str">
        <f t="shared" si="18"/>
        <v>0.346544534306453+0.0123072704807828j</v>
      </c>
      <c r="Y72" s="86">
        <f t="shared" si="19"/>
        <v>-9.1993447881952619</v>
      </c>
      <c r="Z72" s="86">
        <f t="shared" si="20"/>
        <v>-177.96603798760475</v>
      </c>
      <c r="AB72" s="86" t="str">
        <f t="shared" si="21"/>
        <v>5.5617740076094-0.0144994241355108j</v>
      </c>
      <c r="AC72" s="86">
        <f t="shared" si="22"/>
        <v>14.904296278698554</v>
      </c>
      <c r="AD72" s="86">
        <f t="shared" si="23"/>
        <v>179.85063148463527</v>
      </c>
      <c r="AF72" s="86" t="str">
        <f t="shared" si="24"/>
        <v>4.12996137545865-0.0485152731261977j</v>
      </c>
      <c r="AG72" s="86">
        <f t="shared" si="25"/>
        <v>12.319519066238234</v>
      </c>
      <c r="AH72" s="86">
        <f t="shared" si="26"/>
        <v>179.32696887768174</v>
      </c>
      <c r="AJ72" s="86" t="str">
        <f t="shared" si="27"/>
        <v>104997.890815234-470.595316314847j</v>
      </c>
      <c r="AK72" s="86" t="str">
        <f t="shared" si="28"/>
        <v>20000-3.63278637198554E-07j</v>
      </c>
      <c r="AL72" s="86" t="str">
        <f t="shared" si="43"/>
        <v>10000-24468515.2901809j</v>
      </c>
      <c r="AM72" s="86" t="str">
        <f t="shared" si="44"/>
        <v>963.139043581681-7593677.43048637j</v>
      </c>
      <c r="AN72" s="86" t="str">
        <f t="shared" si="45"/>
        <v>10963.1390435817-7593677.43048637j</v>
      </c>
      <c r="AO72" s="86" t="str">
        <f t="shared" si="46"/>
        <v>19999.785220183-52.6745251115632j</v>
      </c>
      <c r="AP72" s="86" t="str">
        <f t="shared" si="47"/>
        <v>0.160000431969503+0.000602373792845391j</v>
      </c>
      <c r="AQ72" s="86" t="str">
        <f t="shared" si="29"/>
        <v>1+0.0277908157456893j</v>
      </c>
      <c r="AR72" s="86">
        <f t="shared" si="30"/>
        <v>9.9999747604758222E-8</v>
      </c>
      <c r="AS72" s="86" t="str">
        <f t="shared" si="31"/>
        <v>1.09262407513616E-06j</v>
      </c>
      <c r="AT72" s="86" t="str">
        <f t="shared" si="32"/>
        <v>9.99997476047582E-08+1.09262407513616E-06j</v>
      </c>
      <c r="AU72" s="86" t="str">
        <f t="shared" si="33"/>
        <v>16.243774321584-135.797508076328j</v>
      </c>
      <c r="AW72" s="86" t="str">
        <f t="shared" si="48"/>
        <v>2.66709780077738-21.719559509755j</v>
      </c>
      <c r="AX72" s="86">
        <f t="shared" si="34"/>
        <v>26.802019187345461</v>
      </c>
      <c r="AY72" s="86">
        <f t="shared" si="35"/>
        <v>97.000704854516471</v>
      </c>
      <c r="AZ72" s="86" t="str">
        <f t="shared" si="36"/>
        <v>14.5188741187474-120.837952920305j</v>
      </c>
      <c r="BA72" s="86">
        <f t="shared" si="37"/>
        <v>41.706315466043989</v>
      </c>
      <c r="BB72" s="86">
        <f t="shared" si="38"/>
        <v>96.851336339151757</v>
      </c>
      <c r="BD72" s="86" t="str">
        <f t="shared" si="39"/>
        <v>9.96128053998479-89.8303368455224j</v>
      </c>
      <c r="BE72" s="86">
        <f t="shared" si="40"/>
        <v>39.121538253583658</v>
      </c>
      <c r="BF72" s="86">
        <f t="shared" si="41"/>
        <v>96.327673732198207</v>
      </c>
      <c r="BH72" s="86">
        <f t="shared" si="49"/>
        <v>-38.121538253583658</v>
      </c>
      <c r="BI72" s="162">
        <f t="shared" si="50"/>
        <v>-96.327673732198207</v>
      </c>
      <c r="BJ72" s="88"/>
      <c r="BK72" s="88"/>
      <c r="BL72" s="88"/>
      <c r="BM72" s="88"/>
      <c r="BN72" s="42"/>
      <c r="BO72" s="42"/>
      <c r="BP72" s="42"/>
    </row>
    <row r="73" spans="1:68" s="86" customFormat="1">
      <c r="A73" s="86">
        <v>9</v>
      </c>
      <c r="B73" s="86">
        <f t="shared" si="42"/>
        <v>151.35612484362082</v>
      </c>
      <c r="C73" s="86" t="str">
        <f t="shared" si="0"/>
        <v>950.998579769077j</v>
      </c>
      <c r="D73" s="86">
        <f t="shared" si="1"/>
        <v>0.99999971796027665</v>
      </c>
      <c r="E73" s="86" t="str">
        <f t="shared" si="2"/>
        <v>-0.00083420928049919j</v>
      </c>
      <c r="F73" s="86" t="str">
        <f t="shared" si="3"/>
        <v>0.999999717960277-0.00083420928049919j</v>
      </c>
      <c r="G73" s="86">
        <f t="shared" si="4"/>
        <v>5.7251195205298252E-7</v>
      </c>
      <c r="H73" s="86">
        <f t="shared" si="5"/>
        <v>-4.7796673396491456E-2</v>
      </c>
      <c r="J73" s="86">
        <f t="shared" si="6"/>
        <v>8.3707025411061284</v>
      </c>
      <c r="K73" s="86" t="str">
        <f t="shared" si="7"/>
        <v>1+0.040828406883586j</v>
      </c>
      <c r="L73" s="86">
        <f t="shared" si="8"/>
        <v>0.99989436992874714</v>
      </c>
      <c r="M73" s="86" t="str">
        <f t="shared" si="9"/>
        <v>0.00280089693818834j</v>
      </c>
      <c r="N73" s="86" t="str">
        <f t="shared" si="10"/>
        <v>0.999894369928747+0.00280089693818834j</v>
      </c>
      <c r="O73" s="86" t="str">
        <f t="shared" si="11"/>
        <v>1.00021217320658+0.0380309328802629j</v>
      </c>
      <c r="P73" s="86" t="str">
        <f t="shared" si="12"/>
        <v>8.3724785799056+0.318345626501453j</v>
      </c>
      <c r="R73" s="86">
        <f t="shared" si="13"/>
        <v>11.958146487294469</v>
      </c>
      <c r="S73" s="86" t="str">
        <f t="shared" si="14"/>
        <v>1+0.0000713248934826808j</v>
      </c>
      <c r="T73" s="86" t="str">
        <f t="shared" si="15"/>
        <v>0.999894369928747+0.00280089693818834j</v>
      </c>
      <c r="U73" s="86" t="str">
        <f t="shared" si="16"/>
        <v>1.00009799359584-0.00273013489901213j</v>
      </c>
      <c r="V73" s="86" t="str">
        <f t="shared" si="17"/>
        <v>11.9593183090683-0.0326473530524619j</v>
      </c>
      <c r="X73" s="86" t="str">
        <f t="shared" si="18"/>
        <v>0.346551962028956+0.0128873929024949j</v>
      </c>
      <c r="Y73" s="86">
        <f t="shared" si="19"/>
        <v>-9.1986310145147989</v>
      </c>
      <c r="Z73" s="86">
        <f t="shared" si="20"/>
        <v>-177.87029591944531</v>
      </c>
      <c r="AB73" s="86" t="str">
        <f t="shared" si="21"/>
        <v>5.56182196293707-0.0151830364027738j</v>
      </c>
      <c r="AC73" s="86">
        <f t="shared" si="22"/>
        <v>14.904374019047221</v>
      </c>
      <c r="AD73" s="86">
        <f t="shared" si="23"/>
        <v>179.84359050848138</v>
      </c>
      <c r="AF73" s="86" t="str">
        <f t="shared" si="24"/>
        <v>4.12993142389083-0.0508016677052258j</v>
      </c>
      <c r="AG73" s="86">
        <f t="shared" si="25"/>
        <v>12.319513893321211</v>
      </c>
      <c r="AH73" s="86">
        <f t="shared" si="26"/>
        <v>179.2952487442613</v>
      </c>
      <c r="AJ73" s="86" t="str">
        <f t="shared" si="27"/>
        <v>104997.687329375-492.772835296962j</v>
      </c>
      <c r="AK73" s="86" t="str">
        <f t="shared" si="28"/>
        <v>20000-3.8039943190763E-07j</v>
      </c>
      <c r="AL73" s="86" t="str">
        <f t="shared" si="43"/>
        <v>10000-23367250.6930749j</v>
      </c>
      <c r="AM73" s="86" t="str">
        <f t="shared" si="44"/>
        <v>963.139036199803-7251905.67176445j</v>
      </c>
      <c r="AN73" s="86" t="str">
        <f t="shared" si="45"/>
        <v>10963.1390361998-7251905.67176445j</v>
      </c>
      <c r="AO73" s="86" t="str">
        <f t="shared" si="46"/>
        <v>19999.7644989932-55.156910336764j</v>
      </c>
      <c r="AP73" s="86" t="str">
        <f t="shared" si="47"/>
        <v>0.160000473645117+0.000630762763791528j</v>
      </c>
      <c r="AQ73" s="86" t="str">
        <f t="shared" si="29"/>
        <v>1+0.0291005565409338j</v>
      </c>
      <c r="AR73" s="86">
        <f t="shared" si="30"/>
        <v>9.9999723254120588E-8</v>
      </c>
      <c r="AS73" s="86" t="str">
        <f t="shared" si="31"/>
        <v>1.14411786136278E-06j</v>
      </c>
      <c r="AT73" s="86" t="str">
        <f t="shared" si="32"/>
        <v>9.99997232541206E-08+1.14411786136278E-06j</v>
      </c>
      <c r="AU73" s="86" t="str">
        <f t="shared" si="33"/>
        <v>15.1584861209917-129.780471573171j</v>
      </c>
      <c r="AW73" s="86" t="str">
        <f t="shared" si="48"/>
        <v>2.49350175994566-20.7570245002258j</v>
      </c>
      <c r="AX73" s="86">
        <f t="shared" si="34"/>
        <v>26.405526048787564</v>
      </c>
      <c r="AY73" s="86">
        <f t="shared" si="35"/>
        <v>96.850008281008328</v>
      </c>
      <c r="AZ73" s="86" t="str">
        <f t="shared" si="36"/>
        <v>13.5532581944878-115.48473367857j</v>
      </c>
      <c r="BA73" s="86">
        <f t="shared" si="37"/>
        <v>41.309900067834761</v>
      </c>
      <c r="BB73" s="86">
        <f t="shared" si="38"/>
        <v>96.693598789489727</v>
      </c>
      <c r="BD73" s="86" t="str">
        <f t="shared" si="39"/>
        <v>9.24349981271695-85.8517617977852j</v>
      </c>
      <c r="BE73" s="86">
        <f t="shared" si="40"/>
        <v>38.725039942108744</v>
      </c>
      <c r="BF73" s="86">
        <f t="shared" si="41"/>
        <v>96.145257025269643</v>
      </c>
      <c r="BH73" s="86">
        <f t="shared" si="49"/>
        <v>-37.725039942108744</v>
      </c>
      <c r="BI73" s="162">
        <f t="shared" si="50"/>
        <v>-96.145257025269643</v>
      </c>
      <c r="BJ73" s="88"/>
      <c r="BK73" s="88"/>
      <c r="BL73" s="88"/>
      <c r="BM73" s="88"/>
      <c r="BN73" s="42"/>
      <c r="BO73" s="42"/>
      <c r="BP73" s="42"/>
    </row>
    <row r="74" spans="1:68" s="86" customFormat="1">
      <c r="A74" s="86">
        <v>10</v>
      </c>
      <c r="B74" s="86">
        <f t="shared" si="42"/>
        <v>158.48931924611136</v>
      </c>
      <c r="C74" s="86" t="str">
        <f t="shared" si="0"/>
        <v>995.817762032062j</v>
      </c>
      <c r="D74" s="86">
        <f t="shared" si="1"/>
        <v>0.99999969074959294</v>
      </c>
      <c r="E74" s="86" t="str">
        <f t="shared" si="2"/>
        <v>-0.000873524352659704j</v>
      </c>
      <c r="F74" s="86" t="str">
        <f t="shared" si="3"/>
        <v>0.999999690749593-0.000873524352659704j</v>
      </c>
      <c r="G74" s="86">
        <f t="shared" si="4"/>
        <v>6.2774690130332644E-7</v>
      </c>
      <c r="H74" s="86">
        <f t="shared" si="5"/>
        <v>-5.0049261457108682E-2</v>
      </c>
      <c r="J74" s="86">
        <f t="shared" si="6"/>
        <v>8.3707025411061284</v>
      </c>
      <c r="K74" s="86" t="str">
        <f t="shared" si="7"/>
        <v>1+0.0427525904192408j</v>
      </c>
      <c r="L74" s="86">
        <f t="shared" si="8"/>
        <v>0.99988417893001424</v>
      </c>
      <c r="M74" s="86" t="str">
        <f t="shared" si="9"/>
        <v>0.00293289914412537j</v>
      </c>
      <c r="N74" s="86" t="str">
        <f t="shared" si="10"/>
        <v>0.999884178930014+0.00293289914412537j</v>
      </c>
      <c r="O74" s="86" t="str">
        <f t="shared" si="11"/>
        <v>1.00023264668038+0.0398236213603023j</v>
      </c>
      <c r="P74" s="86" t="str">
        <f t="shared" si="12"/>
        <v>8.37264995726476+0.333351688516731j</v>
      </c>
      <c r="R74" s="86">
        <f t="shared" si="13"/>
        <v>11.958146487294469</v>
      </c>
      <c r="S74" s="86" t="str">
        <f t="shared" si="14"/>
        <v>1+0.0000746863321524046j</v>
      </c>
      <c r="T74" s="86" t="str">
        <f t="shared" si="15"/>
        <v>0.999884178930014+0.00293289914412537j</v>
      </c>
      <c r="U74" s="86" t="str">
        <f t="shared" si="16"/>
        <v>1.00010744876951-0.0028588590644929j</v>
      </c>
      <c r="V74" s="86" t="str">
        <f t="shared" si="17"/>
        <v>11.9594313754202-0.0341866554797357j</v>
      </c>
      <c r="X74" s="86" t="str">
        <f t="shared" si="18"/>
        <v>0.346560106579333+0.0134948702661192j</v>
      </c>
      <c r="Y74" s="86">
        <f t="shared" si="19"/>
        <v>-9.1978484835294267</v>
      </c>
      <c r="Z74" s="86">
        <f t="shared" si="20"/>
        <v>-177.77005877030052</v>
      </c>
      <c r="AB74" s="86" t="str">
        <f t="shared" si="21"/>
        <v>5.56187454577691-0.0158989071427575j</v>
      </c>
      <c r="AC74" s="86">
        <f t="shared" si="22"/>
        <v>14.904459260381405</v>
      </c>
      <c r="AD74" s="86">
        <f t="shared" si="23"/>
        <v>179.83621748576482</v>
      </c>
      <c r="AF74" s="86" t="str">
        <f t="shared" si="24"/>
        <v>4.12989858237961-0.0531958078768316j</v>
      </c>
      <c r="AG74" s="86">
        <f t="shared" si="25"/>
        <v>12.319508220967311</v>
      </c>
      <c r="AH74" s="86">
        <f t="shared" si="26"/>
        <v>179.26203351607893</v>
      </c>
      <c r="AJ74" s="86" t="str">
        <f t="shared" si="27"/>
        <v>104997.464212473-515.995407066511j</v>
      </c>
      <c r="AK74" s="86" t="str">
        <f t="shared" si="28"/>
        <v>20000-3.98327104812824E-07j</v>
      </c>
      <c r="AL74" s="86" t="str">
        <f t="shared" si="43"/>
        <v>10000-22315551.1675908j</v>
      </c>
      <c r="AM74" s="86" t="str">
        <f t="shared" si="44"/>
        <v>963.139028105732-6925516.17725227j</v>
      </c>
      <c r="AN74" s="86" t="str">
        <f t="shared" si="45"/>
        <v>10963.1390281057-6925516.17725227j</v>
      </c>
      <c r="AO74" s="86" t="str">
        <f t="shared" si="46"/>
        <v>19999.7417787371-57.7562736379936j</v>
      </c>
      <c r="AP74" s="86" t="str">
        <f t="shared" si="47"/>
        <v>0.160000519341516+0.000660489661082626j</v>
      </c>
      <c r="AQ74" s="86" t="str">
        <f t="shared" si="29"/>
        <v>1+0.0304720235181811j</v>
      </c>
      <c r="AR74" s="86">
        <f t="shared" si="30"/>
        <v>9.9999696554177345E-8</v>
      </c>
      <c r="AS74" s="86" t="str">
        <f t="shared" si="31"/>
        <v>1.19803847496791E-06j</v>
      </c>
      <c r="AT74" s="86" t="str">
        <f t="shared" si="32"/>
        <v>9.99996965541773E-08+1.19803847496791E-06j</v>
      </c>
      <c r="AU74" s="86" t="str">
        <f t="shared" si="33"/>
        <v>14.1673063332666-124.022121801775j</v>
      </c>
      <c r="AW74" s="86" t="str">
        <f t="shared" si="48"/>
        <v>2.33495877212341-19.8358634764781j</v>
      </c>
      <c r="AX74" s="86">
        <f t="shared" si="34"/>
        <v>26.008787473371466</v>
      </c>
      <c r="AY74" s="86">
        <f t="shared" si="35"/>
        <v>96.713619689994644</v>
      </c>
      <c r="AZ74" s="86" t="str">
        <f t="shared" si="36"/>
        <v>12.6713792086028-110.36170745603j</v>
      </c>
      <c r="BA74" s="86">
        <f t="shared" si="37"/>
        <v>40.913246733752906</v>
      </c>
      <c r="BB74" s="86">
        <f t="shared" si="38"/>
        <v>96.54983717575945</v>
      </c>
      <c r="BD74" s="86" t="str">
        <f t="shared" si="39"/>
        <v>8.58795814034154-82.0443144700249j</v>
      </c>
      <c r="BE74" s="86">
        <f t="shared" si="40"/>
        <v>38.328295694338813</v>
      </c>
      <c r="BF74" s="86">
        <f t="shared" si="41"/>
        <v>95.975653206073559</v>
      </c>
      <c r="BH74" s="86">
        <f t="shared" si="49"/>
        <v>-37.328295694338813</v>
      </c>
      <c r="BI74" s="162">
        <f t="shared" si="50"/>
        <v>-95.975653206073559</v>
      </c>
      <c r="BJ74" s="88"/>
      <c r="BK74" s="88"/>
      <c r="BL74" s="88"/>
      <c r="BM74" s="88"/>
      <c r="BN74" s="42"/>
      <c r="BO74" s="42"/>
      <c r="BP74" s="42"/>
    </row>
    <row r="75" spans="1:68" s="86" customFormat="1">
      <c r="A75" s="86">
        <v>11</v>
      </c>
      <c r="B75" s="86">
        <f t="shared" si="42"/>
        <v>165.95869074375605</v>
      </c>
      <c r="C75" s="86" t="str">
        <f t="shared" si="0"/>
        <v>1042.74920727993j</v>
      </c>
      <c r="D75" s="86">
        <f t="shared" si="1"/>
        <v>0.99999966091367154</v>
      </c>
      <c r="E75" s="86" t="str">
        <f t="shared" si="2"/>
        <v>-0.000914692287087658j</v>
      </c>
      <c r="F75" s="86" t="str">
        <f t="shared" si="3"/>
        <v>0.999999660913672-0.000914692287087658j</v>
      </c>
      <c r="G75" s="86">
        <f t="shared" si="4"/>
        <v>6.8831083329526801E-7</v>
      </c>
      <c r="H75" s="86">
        <f t="shared" si="5"/>
        <v>-5.2408010758199668E-2</v>
      </c>
      <c r="J75" s="86">
        <f t="shared" si="6"/>
        <v>8.3707025411061284</v>
      </c>
      <c r="K75" s="86" t="str">
        <f t="shared" si="7"/>
        <v>1+0.0447674579311144j</v>
      </c>
      <c r="L75" s="86">
        <f t="shared" si="8"/>
        <v>0.99987300472210661</v>
      </c>
      <c r="M75" s="86" t="str">
        <f t="shared" si="9"/>
        <v>0.00307112242236773j</v>
      </c>
      <c r="N75" s="86" t="str">
        <f t="shared" si="10"/>
        <v>0.999873004722107+0.00307112242236773j</v>
      </c>
      <c r="O75" s="86" t="str">
        <f t="shared" si="11"/>
        <v>1.00025509608287+0.0417008478882126j</v>
      </c>
      <c r="P75" s="86" t="str">
        <f t="shared" si="12"/>
        <v>8.37283787453523+0.349065393384141j</v>
      </c>
      <c r="R75" s="86">
        <f t="shared" si="13"/>
        <v>11.958146487294469</v>
      </c>
      <c r="S75" s="86" t="str">
        <f t="shared" si="14"/>
        <v>1+0.0000782061905459947j</v>
      </c>
      <c r="T75" s="86" t="str">
        <f t="shared" si="15"/>
        <v>0.999873004722107+0.00307112242236773j</v>
      </c>
      <c r="U75" s="86" t="str">
        <f t="shared" si="16"/>
        <v>1.00011781634906-0.00299365824071327j</v>
      </c>
      <c r="V75" s="86" t="str">
        <f t="shared" si="17"/>
        <v>11.9595553524551-0.0357986037753455j</v>
      </c>
      <c r="X75" s="86" t="str">
        <f t="shared" si="18"/>
        <v>0.346569037159252+0.0141309939359473j</v>
      </c>
      <c r="Y75" s="86">
        <f t="shared" si="19"/>
        <v>-9.1969905831163103</v>
      </c>
      <c r="Z75" s="86">
        <f t="shared" si="20"/>
        <v>-177.66511722126921</v>
      </c>
      <c r="AB75" s="86" t="str">
        <f t="shared" si="21"/>
        <v>5.56193220275851-0.0166485627002021j</v>
      </c>
      <c r="AC75" s="86">
        <f t="shared" si="22"/>
        <v>14.90455272653146</v>
      </c>
      <c r="AD75" s="86">
        <f t="shared" si="23"/>
        <v>179.82849673566628</v>
      </c>
      <c r="AF75" s="86" t="str">
        <f t="shared" si="24"/>
        <v>4.12986257205366-0.0557027702199552j</v>
      </c>
      <c r="AG75" s="86">
        <f t="shared" si="25"/>
        <v>12.319502000917939</v>
      </c>
      <c r="AH75" s="86">
        <f t="shared" si="26"/>
        <v>179.22725270616917</v>
      </c>
      <c r="AJ75" s="86" t="str">
        <f t="shared" si="27"/>
        <v>104997.219570745-540.312262484146j</v>
      </c>
      <c r="AK75" s="86" t="str">
        <f t="shared" si="28"/>
        <v>20000-4.17099682911972E-07j</v>
      </c>
      <c r="AL75" s="86" t="str">
        <f t="shared" si="43"/>
        <v>10000-21311185.9180312j</v>
      </c>
      <c r="AM75" s="86" t="str">
        <f t="shared" si="44"/>
        <v>963.139019230762-6613816.63107217j</v>
      </c>
      <c r="AN75" s="86" t="str">
        <f t="shared" si="45"/>
        <v>10963.1390192308-6613816.63107217j</v>
      </c>
      <c r="AO75" s="86" t="str">
        <f t="shared" si="46"/>
        <v>19999.7168665638-60.4781260761695j</v>
      </c>
      <c r="AP75" s="86" t="str">
        <f t="shared" si="47"/>
        <v>0.160000569446614+0.000691617538557807j</v>
      </c>
      <c r="AQ75" s="86" t="str">
        <f t="shared" si="29"/>
        <v>1+0.0319081257427659j</v>
      </c>
      <c r="AR75" s="86">
        <f t="shared" si="30"/>
        <v>9.9999667278271756E-8</v>
      </c>
      <c r="AS75" s="86" t="str">
        <f t="shared" si="31"/>
        <v>1.25450028880227E-06j</v>
      </c>
      <c r="AT75" s="86" t="str">
        <f t="shared" si="32"/>
        <v>9.99996672782718E-08+1.25450028880227E-06j</v>
      </c>
      <c r="AU75" s="86" t="str">
        <f t="shared" si="33"/>
        <v>13.2621851612209-118.512356851221j</v>
      </c>
      <c r="AW75" s="86" t="str">
        <f t="shared" si="48"/>
        <v>2.19018124165238-18.9544604069068j</v>
      </c>
      <c r="AX75" s="86">
        <f t="shared" si="34"/>
        <v>25.611830605420295</v>
      </c>
      <c r="AY75" s="86">
        <f t="shared" si="35"/>
        <v>96.591275957556164</v>
      </c>
      <c r="AZ75" s="86" t="str">
        <f t="shared" si="36"/>
        <v>11.8660750552911-105.459887092813j</v>
      </c>
      <c r="BA75" s="86">
        <f t="shared" si="37"/>
        <v>40.516383331951793</v>
      </c>
      <c r="BB75" s="86">
        <f t="shared" si="38"/>
        <v>96.419772693222413</v>
      </c>
      <c r="BD75" s="86" t="str">
        <f t="shared" si="39"/>
        <v>7.989331583225-78.4013157704015j</v>
      </c>
      <c r="BE75" s="86">
        <f t="shared" si="40"/>
        <v>37.931332606338259</v>
      </c>
      <c r="BF75" s="86">
        <f t="shared" si="41"/>
        <v>95.818528663725317</v>
      </c>
      <c r="BH75" s="86">
        <f t="shared" si="49"/>
        <v>-36.931332606338259</v>
      </c>
      <c r="BI75" s="162">
        <f t="shared" si="50"/>
        <v>-95.818528663725317</v>
      </c>
      <c r="BJ75" s="88"/>
      <c r="BK75" s="88"/>
      <c r="BL75" s="88"/>
      <c r="BM75" s="88"/>
      <c r="BN75" s="42"/>
      <c r="BO75" s="42"/>
      <c r="BP75" s="42"/>
    </row>
    <row r="76" spans="1:68" s="86" customFormat="1">
      <c r="A76" s="86">
        <v>12</v>
      </c>
      <c r="B76" s="86">
        <f t="shared" si="42"/>
        <v>173.78008287493756</v>
      </c>
      <c r="C76" s="86" t="str">
        <f t="shared" si="0"/>
        <v>1091.89246340026j</v>
      </c>
      <c r="D76" s="86">
        <f t="shared" si="1"/>
        <v>0.99999962819923416</v>
      </c>
      <c r="E76" s="86" t="str">
        <f t="shared" si="2"/>
        <v>-0.000957800406491456j</v>
      </c>
      <c r="F76" s="86" t="str">
        <f t="shared" si="3"/>
        <v>0.999999628199234-0.000957800406491456j</v>
      </c>
      <c r="G76" s="86">
        <f t="shared" si="4"/>
        <v>7.547178617035778E-7</v>
      </c>
      <c r="H76" s="86">
        <f t="shared" si="5"/>
        <v>-5.4877924530194251E-2</v>
      </c>
      <c r="J76" s="86">
        <f t="shared" si="6"/>
        <v>8.3707025411061284</v>
      </c>
      <c r="K76" s="86" t="str">
        <f t="shared" si="7"/>
        <v>1+0.0468772832233376j</v>
      </c>
      <c r="L76" s="86">
        <f t="shared" si="8"/>
        <v>0.99986075244677675</v>
      </c>
      <c r="M76" s="86" t="str">
        <f t="shared" si="9"/>
        <v>0.00321585996302048j</v>
      </c>
      <c r="N76" s="86" t="str">
        <f t="shared" si="10"/>
        <v>0.999860752446777+0.00321585996302048j</v>
      </c>
      <c r="O76" s="86" t="str">
        <f t="shared" si="11"/>
        <v>1.00027971218667+0.043666604212889j</v>
      </c>
      <c r="P76" s="86" t="str">
        <f t="shared" si="12"/>
        <v>8.37304392861787+0.365520154846306j</v>
      </c>
      <c r="R76" s="86">
        <f t="shared" si="13"/>
        <v>11.958146487294469</v>
      </c>
      <c r="S76" s="86" t="str">
        <f t="shared" si="14"/>
        <v>1+0.0000818919347550195j</v>
      </c>
      <c r="T76" s="86" t="str">
        <f t="shared" si="15"/>
        <v>0.999860752446777+0.00321585996302048j</v>
      </c>
      <c r="U76" s="86" t="str">
        <f t="shared" si="16"/>
        <v>1.00012918439976-0.00313481998321695j</v>
      </c>
      <c r="V76" s="86" t="str">
        <f t="shared" si="17"/>
        <v>11.9596912932707-0.0374866365706063j</v>
      </c>
      <c r="X76" s="86" t="str">
        <f t="shared" si="18"/>
        <v>0.346578829655634+0.014797116457342j</v>
      </c>
      <c r="Y76" s="86">
        <f t="shared" si="19"/>
        <v>-9.1960500675534984</v>
      </c>
      <c r="Z76" s="86">
        <f t="shared" si="20"/>
        <v>-177.5552524614383</v>
      </c>
      <c r="AB76" s="86" t="str">
        <f t="shared" si="21"/>
        <v>5.56199542363735-0.0174336022511371j</v>
      </c>
      <c r="AC76" s="86">
        <f t="shared" si="22"/>
        <v>14.904655211192265</v>
      </c>
      <c r="AD76" s="86">
        <f t="shared" si="23"/>
        <v>179.82041183361707</v>
      </c>
      <c r="AF76" s="86" t="str">
        <f t="shared" si="24"/>
        <v>4.12982308712588-0.0583278703703108j</v>
      </c>
      <c r="AG76" s="86">
        <f t="shared" si="25"/>
        <v>12.319495180244342</v>
      </c>
      <c r="AH76" s="86">
        <f t="shared" si="26"/>
        <v>179.19083250186799</v>
      </c>
      <c r="AJ76" s="86" t="str">
        <f t="shared" si="27"/>
        <v>104996.951327735-565.774949484527j</v>
      </c>
      <c r="AK76" s="86" t="str">
        <f t="shared" si="28"/>
        <v>20000-4.36756985360104E-07j</v>
      </c>
      <c r="AL76" s="86" t="str">
        <f t="shared" si="43"/>
        <v>10000-20352024.5510442j</v>
      </c>
      <c r="AM76" s="86" t="str">
        <f t="shared" si="44"/>
        <v>963.139009499554-6316145.87669641j</v>
      </c>
      <c r="AN76" s="86" t="str">
        <f t="shared" si="45"/>
        <v>10963.1390094996-6316145.87669641j</v>
      </c>
      <c r="AO76" s="86" t="str">
        <f t="shared" si="46"/>
        <v>19999.68955102-63.3282381522321j</v>
      </c>
      <c r="AP76" s="86" t="str">
        <f t="shared" si="47"/>
        <v>0.160000624385755+0.000724212421590332j</v>
      </c>
      <c r="AQ76" s="86" t="str">
        <f t="shared" si="29"/>
        <v>1+0.033411909380048j</v>
      </c>
      <c r="AR76" s="86">
        <f t="shared" si="30"/>
        <v>9.9999635177879601E-8</v>
      </c>
      <c r="AS76" s="86" t="str">
        <f t="shared" si="31"/>
        <v>1.31362306594295E-06j</v>
      </c>
      <c r="AT76" s="86" t="str">
        <f t="shared" si="32"/>
        <v>9.99996351778796E-08+1.31362306594295E-06j</v>
      </c>
      <c r="AU76" s="86" t="str">
        <f t="shared" si="33"/>
        <v>12.4357428410256-113.24133544043j</v>
      </c>
      <c r="AW76" s="86" t="str">
        <f t="shared" si="48"/>
        <v>2.05798874770236-18.1112409397936j</v>
      </c>
      <c r="AX76" s="86">
        <f t="shared" si="34"/>
        <v>25.214680823620444</v>
      </c>
      <c r="AY76" s="86">
        <f t="shared" si="35"/>
        <v>96.482740090488875</v>
      </c>
      <c r="AZ76" s="86" t="str">
        <f t="shared" si="36"/>
        <v>11.1307798257988-100.77051738079j</v>
      </c>
      <c r="BA76" s="86">
        <f t="shared" si="37"/>
        <v>40.11933603481269</v>
      </c>
      <c r="BB76" s="86">
        <f t="shared" si="38"/>
        <v>96.303151924105975</v>
      </c>
      <c r="BD76" s="86" t="str">
        <f t="shared" si="39"/>
        <v>7.44273932952473-74.9162590705585j</v>
      </c>
      <c r="BE76" s="86">
        <f t="shared" si="40"/>
        <v>37.534176003864779</v>
      </c>
      <c r="BF76" s="86">
        <f t="shared" si="41"/>
        <v>95.673572592356876</v>
      </c>
      <c r="BH76" s="86">
        <f t="shared" si="49"/>
        <v>-36.534176003864779</v>
      </c>
      <c r="BI76" s="162">
        <f t="shared" si="50"/>
        <v>-95.673572592356876</v>
      </c>
      <c r="BJ76" s="88"/>
      <c r="BK76" s="88"/>
      <c r="BL76" s="88"/>
      <c r="BM76" s="88"/>
      <c r="BN76" s="42"/>
      <c r="BO76" s="42"/>
      <c r="BP76" s="42"/>
    </row>
    <row r="77" spans="1:68" s="86" customFormat="1">
      <c r="A77" s="86">
        <v>13</v>
      </c>
      <c r="B77" s="86">
        <f t="shared" si="42"/>
        <v>181.97008586099835</v>
      </c>
      <c r="C77" s="86" t="str">
        <f t="shared" si="0"/>
        <v>1143.35176982803j</v>
      </c>
      <c r="D77" s="86">
        <f t="shared" si="1"/>
        <v>0.99999959232856694</v>
      </c>
      <c r="E77" s="86" t="str">
        <f t="shared" si="2"/>
        <v>-0.00100294014897196j</v>
      </c>
      <c r="F77" s="86" t="str">
        <f t="shared" si="3"/>
        <v>0.999999592328567-0.00100294014897196j</v>
      </c>
      <c r="G77" s="86">
        <f t="shared" si="4"/>
        <v>8.2753173796345747E-7</v>
      </c>
      <c r="H77" s="86">
        <f t="shared" si="5"/>
        <v>-5.7464241799293991E-2</v>
      </c>
      <c r="J77" s="86">
        <f t="shared" si="6"/>
        <v>8.3707025411061284</v>
      </c>
      <c r="K77" s="86" t="str">
        <f t="shared" si="7"/>
        <v>1+0.0490865415182241j</v>
      </c>
      <c r="L77" s="86">
        <f t="shared" si="8"/>
        <v>0.99984731809402438</v>
      </c>
      <c r="M77" s="86" t="str">
        <f t="shared" si="9"/>
        <v>0.00336741877381264j</v>
      </c>
      <c r="N77" s="86" t="str">
        <f t="shared" si="10"/>
        <v>0.999847318094024+0.00336741877381264j</v>
      </c>
      <c r="O77" s="86" t="str">
        <f t="shared" si="11"/>
        <v>1.0003067041978+0.0457250713339799j</v>
      </c>
      <c r="P77" s="86" t="str">
        <f t="shared" si="12"/>
        <v>8.37326987071402+0.382750970807605j</v>
      </c>
      <c r="R77" s="86">
        <f t="shared" si="13"/>
        <v>11.958146487294469</v>
      </c>
      <c r="S77" s="86" t="str">
        <f t="shared" si="14"/>
        <v>1+0.0000857513827371023j</v>
      </c>
      <c r="T77" s="86" t="str">
        <f t="shared" si="15"/>
        <v>0.999847318094024+0.00336741877381264j</v>
      </c>
      <c r="U77" s="86" t="str">
        <f t="shared" si="16"/>
        <v>1.00014164949092-0.0032826455848151j</v>
      </c>
      <c r="V77" s="86" t="str">
        <f t="shared" si="17"/>
        <v>11.9598403526567-0.0392543567690894j</v>
      </c>
      <c r="X77" s="86" t="str">
        <f t="shared" si="18"/>
        <v>0.346589567287382+0.0154946544876887j</v>
      </c>
      <c r="Y77" s="86">
        <f t="shared" si="19"/>
        <v>-9.1950189972631602</v>
      </c>
      <c r="Z77" s="86">
        <f t="shared" si="20"/>
        <v>-177.44023579536682</v>
      </c>
      <c r="AB77" s="86" t="str">
        <f t="shared" si="21"/>
        <v>5.56206474546201-0.0182557013683414j</v>
      </c>
      <c r="AC77" s="86">
        <f t="shared" si="22"/>
        <v>14.904767584668623</v>
      </c>
      <c r="AD77" s="86">
        <f t="shared" si="23"/>
        <v>179.81194557554531</v>
      </c>
      <c r="AF77" s="86" t="str">
        <f t="shared" si="24"/>
        <v>4.12977979229384-0.0610766742578075j</v>
      </c>
      <c r="AG77" s="86">
        <f t="shared" si="25"/>
        <v>12.319487700892884</v>
      </c>
      <c r="AH77" s="86">
        <f t="shared" si="26"/>
        <v>179.15269560752205</v>
      </c>
      <c r="AJ77" s="86" t="str">
        <f t="shared" si="27"/>
        <v>104996.657206698-592.43744181671j</v>
      </c>
      <c r="AK77" s="86" t="str">
        <f t="shared" si="28"/>
        <v>20000-4.57340707931212E-07j</v>
      </c>
      <c r="AL77" s="86" t="str">
        <f t="shared" si="43"/>
        <v>9999.99999999998-19436032.5567735j</v>
      </c>
      <c r="AM77" s="86" t="str">
        <f t="shared" si="44"/>
        <v>963.138998829491-6031872.51454558j</v>
      </c>
      <c r="AN77" s="86" t="str">
        <f t="shared" si="45"/>
        <v>10963.1389988295-6031872.51454558j</v>
      </c>
      <c r="AO77" s="86" t="str">
        <f t="shared" si="46"/>
        <v>19999.6596002552-66.3126519914703j</v>
      </c>
      <c r="AP77" s="86" t="str">
        <f t="shared" si="47"/>
        <v>0.160000684625318+0.000758343447116602j</v>
      </c>
      <c r="AQ77" s="86" t="str">
        <f t="shared" si="29"/>
        <v>1+0.0349865641567377j</v>
      </c>
      <c r="AR77" s="86">
        <f t="shared" si="30"/>
        <v>9.9999599980499502E-8</v>
      </c>
      <c r="AS77" s="86" t="str">
        <f t="shared" si="31"/>
        <v>1.37553221372701E-06j</v>
      </c>
      <c r="AT77" s="86" t="str">
        <f t="shared" si="32"/>
        <v>9.99995999804995E-08+1.37553221372701E-06j</v>
      </c>
      <c r="AU77" s="86" t="str">
        <f t="shared" si="33"/>
        <v>11.6812169910385-108.199489251037j</v>
      </c>
      <c r="AW77" s="86" t="str">
        <f t="shared" si="48"/>
        <v>1.93729962252278-17.3046743755799j</v>
      </c>
      <c r="AX77" s="86">
        <f t="shared" si="34"/>
        <v>24.817361941329821</v>
      </c>
      <c r="AY77" s="86">
        <f t="shared" si="35"/>
        <v>96.387801138035087</v>
      </c>
      <c r="AZ77" s="86" t="str">
        <f t="shared" si="36"/>
        <v>10.4594769641538-96.2850860394825j</v>
      </c>
      <c r="BA77" s="86">
        <f t="shared" si="37"/>
        <v>39.72212952599844</v>
      </c>
      <c r="BB77" s="86">
        <f t="shared" si="38"/>
        <v>96.199746713580367</v>
      </c>
      <c r="BD77" s="86" t="str">
        <f t="shared" si="39"/>
        <v>6.94370887273831-71.5828183664794j</v>
      </c>
      <c r="BE77" s="86">
        <f t="shared" si="40"/>
        <v>37.1368496422227</v>
      </c>
      <c r="BF77" s="86">
        <f t="shared" si="41"/>
        <v>95.540496745557107</v>
      </c>
      <c r="BH77" s="86">
        <f t="shared" si="49"/>
        <v>-36.1368496422227</v>
      </c>
      <c r="BI77" s="162">
        <f t="shared" si="50"/>
        <v>-95.540496745557107</v>
      </c>
      <c r="BJ77" s="88"/>
      <c r="BK77" s="88"/>
      <c r="BL77" s="88"/>
      <c r="BM77" s="88"/>
      <c r="BN77" s="42"/>
      <c r="BO77" s="42"/>
      <c r="BP77" s="42"/>
    </row>
    <row r="78" spans="1:68" s="86" customFormat="1">
      <c r="A78" s="86">
        <v>14</v>
      </c>
      <c r="B78" s="86">
        <f t="shared" si="42"/>
        <v>190.54607179632475</v>
      </c>
      <c r="C78" s="86" t="str">
        <f t="shared" si="0"/>
        <v>1197.23627865145j</v>
      </c>
      <c r="D78" s="86">
        <f t="shared" si="1"/>
        <v>0.99999955299716248</v>
      </c>
      <c r="E78" s="86" t="str">
        <f t="shared" si="2"/>
        <v>-0.00105020726197496j</v>
      </c>
      <c r="F78" s="86" t="str">
        <f t="shared" si="3"/>
        <v>0.999999552997162-0.00105020726197496j</v>
      </c>
      <c r="G78" s="86">
        <f t="shared" si="4"/>
        <v>9.073705706827786E-7</v>
      </c>
      <c r="H78" s="86">
        <f t="shared" si="5"/>
        <v>-6.0172448500301352E-2</v>
      </c>
      <c r="J78" s="86">
        <f t="shared" si="6"/>
        <v>8.3707025411061284</v>
      </c>
      <c r="K78" s="86" t="str">
        <f t="shared" si="7"/>
        <v>1+0.0513999189488181j</v>
      </c>
      <c r="L78" s="86">
        <f t="shared" si="8"/>
        <v>0.99983258761915217</v>
      </c>
      <c r="M78" s="86" t="str">
        <f t="shared" si="9"/>
        <v>0.00352612033130177j</v>
      </c>
      <c r="N78" s="86" t="str">
        <f t="shared" si="10"/>
        <v>0.999832587619152+0.00352612033130177j</v>
      </c>
      <c r="O78" s="86" t="str">
        <f t="shared" si="11"/>
        <v>1.00033630153983+0.0478806285878477j</v>
      </c>
      <c r="P78" s="86" t="str">
        <f t="shared" si="12"/>
        <v>8.37351762126016+0.400794499390056j</v>
      </c>
      <c r="R78" s="86">
        <f t="shared" si="13"/>
        <v>11.958146487294469</v>
      </c>
      <c r="S78" s="86" t="str">
        <f t="shared" si="14"/>
        <v>1+0.0000897927208988587j</v>
      </c>
      <c r="T78" s="86" t="str">
        <f t="shared" si="15"/>
        <v>0.999832587619152+0.00352612033130177j</v>
      </c>
      <c r="U78" s="86" t="str">
        <f t="shared" si="16"/>
        <v>1.00015531751794-0.00343745075047493j</v>
      </c>
      <c r="V78" s="86" t="str">
        <f t="shared" si="17"/>
        <v>11.960003796926-0.0411055396170395j</v>
      </c>
      <c r="X78" s="86" t="str">
        <f t="shared" si="18"/>
        <v>0.346601341314916+0.0162250918725348j</v>
      </c>
      <c r="Y78" s="86">
        <f t="shared" si="19"/>
        <v>-9.1938886729150067</v>
      </c>
      <c r="Z78" s="86">
        <f t="shared" si="20"/>
        <v>-177.31982824008753</v>
      </c>
      <c r="AB78" s="86" t="str">
        <f t="shared" si="21"/>
        <v>5.56214075714622-0.019116615774586j</v>
      </c>
      <c r="AC78" s="86">
        <f t="shared" si="22"/>
        <v>14.904890801274799</v>
      </c>
      <c r="AD78" s="86">
        <f t="shared" si="23"/>
        <v>179.80307994033262</v>
      </c>
      <c r="AF78" s="86" t="str">
        <f t="shared" si="24"/>
        <v>4.12973231988995-0.0639550098692765j</v>
      </c>
      <c r="AG78" s="86">
        <f t="shared" si="25"/>
        <v>12.319479499187914</v>
      </c>
      <c r="AH78" s="86">
        <f t="shared" si="26"/>
        <v>179.11276107970275</v>
      </c>
      <c r="AJ78" s="86" t="str">
        <f t="shared" si="27"/>
        <v>104996.334711288-620.356252841206j</v>
      </c>
      <c r="AK78" s="86" t="str">
        <f t="shared" si="28"/>
        <v>20000-4.7889451146058E-07j</v>
      </c>
      <c r="AL78" s="86" t="str">
        <f t="shared" si="43"/>
        <v>10000-18561266.99339j</v>
      </c>
      <c r="AM78" s="86" t="str">
        <f t="shared" si="44"/>
        <v>963.138987130005-5760393.56270533j</v>
      </c>
      <c r="AN78" s="86" t="str">
        <f t="shared" si="45"/>
        <v>10963.13898713-5760393.56270533j</v>
      </c>
      <c r="AO78" s="86" t="str">
        <f t="shared" si="46"/>
        <v>19999.6267600548-69.4376940957552j</v>
      </c>
      <c r="AP78" s="86" t="str">
        <f t="shared" si="47"/>
        <v>0.160000750676674+0.000794083010262278j</v>
      </c>
      <c r="AQ78" s="86" t="str">
        <f t="shared" si="29"/>
        <v>1+0.0366354301267344j</v>
      </c>
      <c r="AR78" s="86">
        <f t="shared" si="30"/>
        <v>9.9999561387339674E-8</v>
      </c>
      <c r="AS78" s="86" t="str">
        <f t="shared" si="31"/>
        <v>0.0000014403590497572j</v>
      </c>
      <c r="AT78" s="86" t="str">
        <f t="shared" si="32"/>
        <v>9.99995613873397E-08+0.0000014403590497572j</v>
      </c>
      <c r="AU78" s="86" t="str">
        <f t="shared" si="33"/>
        <v>10.9924135642831-103.377531796731j</v>
      </c>
      <c r="AW78" s="86" t="str">
        <f t="shared" si="48"/>
        <v>1.82712310611558-16.5332750851135j</v>
      </c>
      <c r="AX78" s="86">
        <f t="shared" si="34"/>
        <v>24.419896395980423</v>
      </c>
      <c r="AY78" s="86">
        <f t="shared" si="35"/>
        <v>96.3062741001158</v>
      </c>
      <c r="AZ78" s="86" t="str">
        <f t="shared" si="36"/>
        <v>9.84665562955141-91.9953316104124j</v>
      </c>
      <c r="BA78" s="86">
        <f t="shared" si="37"/>
        <v>39.324787197255226</v>
      </c>
      <c r="BB78" s="86">
        <f t="shared" si="38"/>
        <v>96.109354040448437</v>
      </c>
      <c r="BD78" s="86" t="str">
        <f t="shared" si="39"/>
        <v>6.48814357250332-68.3948541489085j</v>
      </c>
      <c r="BE78" s="86">
        <f t="shared" si="40"/>
        <v>36.739375895168337</v>
      </c>
      <c r="BF78" s="86">
        <f t="shared" si="41"/>
        <v>95.41903517981855</v>
      </c>
      <c r="BH78" s="86">
        <f t="shared" si="49"/>
        <v>-35.739375895168337</v>
      </c>
      <c r="BI78" s="162">
        <f t="shared" si="50"/>
        <v>-95.41903517981855</v>
      </c>
      <c r="BJ78" s="88"/>
      <c r="BK78" s="88"/>
      <c r="BL78" s="88"/>
      <c r="BM78" s="88"/>
      <c r="BN78" s="42"/>
      <c r="BO78" s="42"/>
      <c r="BP78" s="42"/>
    </row>
    <row r="79" spans="1:68" s="86" customFormat="1">
      <c r="A79" s="86">
        <v>15</v>
      </c>
      <c r="B79" s="86">
        <f t="shared" si="42"/>
        <v>199.52623149688799</v>
      </c>
      <c r="C79" s="86" t="str">
        <f t="shared" si="0"/>
        <v>1253.66028613816j</v>
      </c>
      <c r="D79" s="86">
        <f t="shared" si="1"/>
        <v>0.99999950987113506</v>
      </c>
      <c r="E79" s="86" t="str">
        <f t="shared" si="2"/>
        <v>-0.00109970200538435j</v>
      </c>
      <c r="F79" s="86" t="str">
        <f t="shared" si="3"/>
        <v>0.999999509871135-0.00109970200538435j</v>
      </c>
      <c r="G79" s="86">
        <f t="shared" si="4"/>
        <v>9.9491213136412004E-7</v>
      </c>
      <c r="H79" s="86">
        <f t="shared" si="5"/>
        <v>-6.3008289113197183E-2</v>
      </c>
      <c r="J79" s="86">
        <f t="shared" si="6"/>
        <v>8.3707025411061284</v>
      </c>
      <c r="K79" s="86" t="str">
        <f t="shared" si="7"/>
        <v>1+0.0538223224988101j</v>
      </c>
      <c r="L79" s="86">
        <f t="shared" si="8"/>
        <v>0.99981643597463599</v>
      </c>
      <c r="M79" s="86" t="str">
        <f t="shared" si="9"/>
        <v>0.00369230126276879j</v>
      </c>
      <c r="N79" s="86" t="str">
        <f t="shared" si="10"/>
        <v>0.999816435974636+0.00369230126276879j</v>
      </c>
      <c r="O79" s="86" t="str">
        <f t="shared" si="11"/>
        <v>1.00036875581122+0.0501378631864835j</v>
      </c>
      <c r="P79" s="86" t="str">
        <f t="shared" si="12"/>
        <v>8.37378928631215+0.419689138780729j</v>
      </c>
      <c r="R79" s="86">
        <f t="shared" si="13"/>
        <v>11.958146487294469</v>
      </c>
      <c r="S79" s="86" t="str">
        <f t="shared" si="14"/>
        <v>1+0.000094024521460362j</v>
      </c>
      <c r="T79" s="86" t="str">
        <f t="shared" si="15"/>
        <v>0.999816435974636+0.00369230126276879j</v>
      </c>
      <c r="U79" s="86" t="str">
        <f t="shared" si="16"/>
        <v>1.00017030460394-0.00359956630809368j</v>
      </c>
      <c r="V79" s="86" t="str">
        <f t="shared" si="17"/>
        <v>11.9601830146958-0.043044141202914j</v>
      </c>
      <c r="X79" s="86" t="str">
        <f t="shared" si="18"/>
        <v>0.346614251818561+0.0169899828748059j</v>
      </c>
      <c r="Y79" s="86">
        <f t="shared" si="19"/>
        <v>-9.192649563382707</v>
      </c>
      <c r="Z79" s="86">
        <f t="shared" si="20"/>
        <v>-177.19378011229193</v>
      </c>
      <c r="AB79" s="86" t="str">
        <f t="shared" si="21"/>
        <v>5.56222410448279-0.0200181852954445j</v>
      </c>
      <c r="AC79" s="86">
        <f t="shared" si="22"/>
        <v>14.905025907447927</v>
      </c>
      <c r="AD79" s="86">
        <f t="shared" si="23"/>
        <v>179.79379605038244</v>
      </c>
      <c r="AF79" s="86" t="str">
        <f t="shared" si="24"/>
        <v>4.12968026675556-0.0669689795605967j</v>
      </c>
      <c r="AG79" s="86">
        <f t="shared" si="25"/>
        <v>12.319470505284729</v>
      </c>
      <c r="AH79" s="86">
        <f t="shared" si="26"/>
        <v>179.07094415456015</v>
      </c>
      <c r="AJ79" s="86" t="str">
        <f t="shared" si="27"/>
        <v>104995.981104379-649.590554611912j</v>
      </c>
      <c r="AK79" s="86" t="str">
        <f t="shared" si="28"/>
        <v>20000-5.01464114455264E-07j</v>
      </c>
      <c r="AL79" s="86" t="str">
        <f t="shared" si="43"/>
        <v>10000-17725872.3658518j</v>
      </c>
      <c r="AM79" s="86" t="str">
        <f t="shared" si="44"/>
        <v>963.138974301772-5501133.17792095j</v>
      </c>
      <c r="AN79" s="86" t="str">
        <f t="shared" si="45"/>
        <v>10963.1389743018-5501133.17792095j</v>
      </c>
      <c r="AO79" s="86" t="str">
        <f t="shared" si="46"/>
        <v>19999.5907516839-72.7099886895061j</v>
      </c>
      <c r="AP79" s="86" t="str">
        <f t="shared" si="47"/>
        <v>0.160000823100536+0.000831506917876168j</v>
      </c>
      <c r="AQ79" s="86" t="str">
        <f t="shared" si="29"/>
        <v>1+0.0383620047558277j</v>
      </c>
      <c r="AR79" s="86">
        <f t="shared" si="30"/>
        <v>9.9999519070781406E-8</v>
      </c>
      <c r="AS79" s="86" t="str">
        <f t="shared" si="31"/>
        <v>1.50824108044424E-06j</v>
      </c>
      <c r="AT79" s="86" t="str">
        <f t="shared" si="32"/>
        <v>9.99995190707814E-08+1.50824108044424E-06j</v>
      </c>
      <c r="AU79" s="86" t="str">
        <f t="shared" si="33"/>
        <v>10.3636612531284-98.7664643208091j</v>
      </c>
      <c r="AW79" s="86" t="str">
        <f t="shared" si="48"/>
        <v>1.72655205310409-15.7956034525265j</v>
      </c>
      <c r="AX79" s="86">
        <f t="shared" si="34"/>
        <v>24.022305428766227</v>
      </c>
      <c r="AY79" s="86">
        <f t="shared" si="35"/>
        <v>96.237999838011888</v>
      </c>
      <c r="AZ79" s="86" t="str">
        <f t="shared" si="36"/>
        <v>9.28727013065378-87.8932487074157j</v>
      </c>
      <c r="BA79" s="86">
        <f t="shared" si="37"/>
        <v>38.927331336214152</v>
      </c>
      <c r="BB79" s="86">
        <f t="shared" si="38"/>
        <v>96.031795888394328</v>
      </c>
      <c r="BD79" s="86" t="str">
        <f t="shared" si="39"/>
        <v>6.07229249847072-65.3464173085493j</v>
      </c>
      <c r="BE79" s="86">
        <f t="shared" si="40"/>
        <v>36.341775934050958</v>
      </c>
      <c r="BF79" s="86">
        <f t="shared" si="41"/>
        <v>95.308943992572054</v>
      </c>
      <c r="BH79" s="86">
        <f t="shared" si="49"/>
        <v>-35.341775934050958</v>
      </c>
      <c r="BI79" s="162">
        <f t="shared" si="50"/>
        <v>-95.308943992572054</v>
      </c>
      <c r="BJ79" s="88"/>
      <c r="BK79" s="88"/>
      <c r="BL79" s="88"/>
      <c r="BM79" s="88"/>
      <c r="BN79" s="42"/>
      <c r="BO79" s="42"/>
      <c r="BP79" s="42"/>
    </row>
    <row r="80" spans="1:68" s="86" customFormat="1">
      <c r="A80" s="86">
        <v>16</v>
      </c>
      <c r="B80" s="86">
        <f t="shared" si="42"/>
        <v>208.92961308540396</v>
      </c>
      <c r="C80" s="86" t="str">
        <f t="shared" si="0"/>
        <v>1312.74347517293j</v>
      </c>
      <c r="D80" s="86">
        <f t="shared" si="1"/>
        <v>0.99999946258438632</v>
      </c>
      <c r="E80" s="86" t="str">
        <f t="shared" si="2"/>
        <v>-0.00115152936418678j</v>
      </c>
      <c r="F80" s="86" t="str">
        <f t="shared" si="3"/>
        <v>0.999999462584386-0.00115152936418678j</v>
      </c>
      <c r="G80" s="86">
        <f t="shared" si="4"/>
        <v>1.0908995574281766E-6</v>
      </c>
      <c r="H80" s="86">
        <f t="shared" si="5"/>
        <v>-6.5977778848153396E-2</v>
      </c>
      <c r="J80" s="86">
        <f t="shared" si="6"/>
        <v>8.3707025411061284</v>
      </c>
      <c r="K80" s="86" t="str">
        <f t="shared" si="7"/>
        <v>1+0.0563588904109064j</v>
      </c>
      <c r="L80" s="86">
        <f t="shared" si="8"/>
        <v>0.99979872604859199</v>
      </c>
      <c r="M80" s="86" t="str">
        <f t="shared" si="9"/>
        <v>0.0038663140602496j</v>
      </c>
      <c r="N80" s="86" t="str">
        <f t="shared" si="10"/>
        <v>0.999798726048592+0.0038663140602496j</v>
      </c>
      <c r="O80" s="86" t="str">
        <f t="shared" si="11"/>
        <v>1.00040434293295+0.0525015802343989j</v>
      </c>
      <c r="P80" s="86" t="str">
        <f t="shared" si="12"/>
        <v>8.37408717552245+0.43947511108017j</v>
      </c>
      <c r="R80" s="86">
        <f t="shared" si="13"/>
        <v>11.958146487294469</v>
      </c>
      <c r="S80" s="86" t="str">
        <f t="shared" si="14"/>
        <v>1+0.0000984557606379697j</v>
      </c>
      <c r="T80" s="86" t="str">
        <f t="shared" si="15"/>
        <v>0.999798726048592+0.0038663140602496j</v>
      </c>
      <c r="U80" s="86" t="str">
        <f t="shared" si="16"/>
        <v>1.00018673808871-0.00376933895745576j</v>
      </c>
      <c r="V80" s="86" t="str">
        <f t="shared" si="17"/>
        <v>11.960379528714-0.0450743074135218j</v>
      </c>
      <c r="X80" s="86" t="str">
        <f t="shared" si="18"/>
        <v>0.346628408552579+0.0177909555655154j</v>
      </c>
      <c r="Y80" s="86">
        <f t="shared" si="19"/>
        <v>-9.1912912270007681</v>
      </c>
      <c r="Z80" s="86">
        <f t="shared" si="20"/>
        <v>-177.06183060656124</v>
      </c>
      <c r="AB80" s="86" t="str">
        <f t="shared" si="21"/>
        <v>5.56231549564357-0.0209623380244516j</v>
      </c>
      <c r="AC80" s="86">
        <f t="shared" si="22"/>
        <v>14.905174050646226</v>
      </c>
      <c r="AD80" s="86">
        <f t="shared" si="23"/>
        <v>179.78407413019187</v>
      </c>
      <c r="AF80" s="86" t="str">
        <f t="shared" si="24"/>
        <v>4.12962319081268-0.0701249729433691j</v>
      </c>
      <c r="AG80" s="86">
        <f t="shared" si="25"/>
        <v>12.319460642568574</v>
      </c>
      <c r="AH80" s="86">
        <f t="shared" si="26"/>
        <v>179.02715606693167</v>
      </c>
      <c r="AJ80" s="86" t="str">
        <f t="shared" si="27"/>
        <v>104995.593384852-680.20230248041j</v>
      </c>
      <c r="AK80" s="86" t="str">
        <f t="shared" si="28"/>
        <v>20000-5.25097390069172E-07j</v>
      </c>
      <c r="AL80" s="86" t="str">
        <f t="shared" si="43"/>
        <v>10000-16928076.6901507j</v>
      </c>
      <c r="AM80" s="86" t="str">
        <f t="shared" si="44"/>
        <v>963.138960235892-5253541.43415674j</v>
      </c>
      <c r="AN80" s="86" t="str">
        <f t="shared" si="45"/>
        <v>10963.1389602359-5253541.43415674j</v>
      </c>
      <c r="AO80" s="86" t="str">
        <f t="shared" si="46"/>
        <v>19999.5512695223-76.1364716862936j</v>
      </c>
      <c r="AP80" s="86" t="str">
        <f t="shared" si="47"/>
        <v>0.160000902511704+0.00087069454929691j</v>
      </c>
      <c r="AQ80" s="86" t="str">
        <f t="shared" si="29"/>
        <v>1+0.0401699503402917j</v>
      </c>
      <c r="AR80" s="86">
        <f t="shared" si="30"/>
        <v>9.9999472671597918E-8</v>
      </c>
      <c r="AS80" s="86" t="str">
        <f t="shared" si="31"/>
        <v>0.0000015793222926763j</v>
      </c>
      <c r="AT80" s="86" t="str">
        <f t="shared" si="32"/>
        <v>9.99994726715979E-08+0.0000015793222926763j</v>
      </c>
      <c r="AU80" s="86" t="str">
        <f t="shared" si="33"/>
        <v>9.7897691819596-94.357579156119j</v>
      </c>
      <c r="AW80" s="86" t="str">
        <f t="shared" si="48"/>
        <v>1.63475616553219-15.0902664121876j</v>
      </c>
      <c r="AX80" s="86">
        <f t="shared" si="34"/>
        <v>23.624609255790837</v>
      </c>
      <c r="AY80" s="86">
        <f t="shared" si="35"/>
        <v>96.182844992581863</v>
      </c>
      <c r="AZ80" s="86" t="str">
        <f t="shared" si="36"/>
        <v>8.77670228572726-83.9710910092302j</v>
      </c>
      <c r="BA80" s="86">
        <f t="shared" si="37"/>
        <v>38.529783306437068</v>
      </c>
      <c r="BB80" s="86">
        <f t="shared" si="38"/>
        <v>95.966919122773731</v>
      </c>
      <c r="BD80" s="86" t="str">
        <f t="shared" si="39"/>
        <v>5.69272244864285-62.4317513631884j</v>
      </c>
      <c r="BE80" s="86">
        <f t="shared" si="40"/>
        <v>35.944069898359395</v>
      </c>
      <c r="BF80" s="86">
        <f t="shared" si="41"/>
        <v>95.210001059513544</v>
      </c>
      <c r="BH80" s="86">
        <f t="shared" si="49"/>
        <v>-34.944069898359395</v>
      </c>
      <c r="BI80" s="162">
        <f t="shared" si="50"/>
        <v>-95.210001059513544</v>
      </c>
      <c r="BJ80" s="88"/>
      <c r="BK80" s="88"/>
      <c r="BL80" s="88"/>
      <c r="BM80" s="88"/>
      <c r="BN80" s="42"/>
      <c r="BO80" s="42"/>
      <c r="BP80" s="42"/>
    </row>
    <row r="81" spans="1:68" s="86" customFormat="1">
      <c r="A81" s="86">
        <v>17</v>
      </c>
      <c r="B81" s="86">
        <f t="shared" si="42"/>
        <v>218.77616239495526</v>
      </c>
      <c r="C81" s="86" t="str">
        <f t="shared" si="0"/>
        <v>1374.61116912112j</v>
      </c>
      <c r="D81" s="86">
        <f t="shared" si="1"/>
        <v>0.99999941073549725</v>
      </c>
      <c r="E81" s="86" t="str">
        <f t="shared" si="2"/>
        <v>-0.00120579927115888j</v>
      </c>
      <c r="F81" s="86" t="str">
        <f t="shared" si="3"/>
        <v>0.999999410735497-0.00120579927115888j</v>
      </c>
      <c r="G81" s="86">
        <f t="shared" si="4"/>
        <v>1.1961476974773852E-6</v>
      </c>
      <c r="H81" s="86">
        <f t="shared" si="5"/>
        <v>-6.908721640482926E-2</v>
      </c>
      <c r="J81" s="86">
        <f t="shared" si="6"/>
        <v>8.3707025411061284</v>
      </c>
      <c r="K81" s="86" t="str">
        <f t="shared" si="7"/>
        <v>1+0.0590150030857321j</v>
      </c>
      <c r="L81" s="86">
        <f t="shared" si="8"/>
        <v>0.99977930750082955</v>
      </c>
      <c r="M81" s="86" t="str">
        <f t="shared" si="9"/>
        <v>0.00404852782821793j</v>
      </c>
      <c r="N81" s="86" t="str">
        <f t="shared" si="10"/>
        <v>0.99977930750083+0.00404852782821793j</v>
      </c>
      <c r="O81" s="86" t="str">
        <f t="shared" si="11"/>
        <v>1.00044336550496+0.0549768132502419j</v>
      </c>
      <c r="P81" s="86" t="str">
        <f t="shared" si="12"/>
        <v>8.37441382186514+0.460194550375717j</v>
      </c>
      <c r="R81" s="86">
        <f t="shared" si="13"/>
        <v>11.958146487294469</v>
      </c>
      <c r="S81" s="86" t="str">
        <f t="shared" si="14"/>
        <v>1+0.000103095837684084j</v>
      </c>
      <c r="T81" s="86" t="str">
        <f t="shared" si="15"/>
        <v>0.99977930750083+0.00404852782821793j</v>
      </c>
      <c r="U81" s="86" t="str">
        <f t="shared" si="16"/>
        <v>1.00020475761365-0.00394713205986961j</v>
      </c>
      <c r="V81" s="86" t="str">
        <f t="shared" si="17"/>
        <v>11.9605950088329-0.0472003833766172j</v>
      </c>
      <c r="X81" s="86" t="str">
        <f t="shared" si="18"/>
        <v>0.3466439318822+0.0186297153849618j</v>
      </c>
      <c r="Y81" s="86">
        <f t="shared" si="19"/>
        <v>-9.1898022255267957</v>
      </c>
      <c r="Z81" s="86">
        <f t="shared" si="20"/>
        <v>-176.92370736573366</v>
      </c>
      <c r="AB81" s="86" t="str">
        <f t="shared" si="21"/>
        <v>5.56241570721307-0.0219510947144922j</v>
      </c>
      <c r="AC81" s="86">
        <f t="shared" si="22"/>
        <v>14.90533648910869</v>
      </c>
      <c r="AD81" s="86">
        <f t="shared" si="23"/>
        <v>179.77389346281385</v>
      </c>
      <c r="AF81" s="86" t="str">
        <f t="shared" si="24"/>
        <v>4.1295606073049-0.073429680372393j</v>
      </c>
      <c r="AG81" s="86">
        <f t="shared" si="25"/>
        <v>12.319449826996134</v>
      </c>
      <c r="AH81" s="86">
        <f t="shared" si="26"/>
        <v>178.98130386080129</v>
      </c>
      <c r="AJ81" s="86" t="str">
        <f t="shared" si="27"/>
        <v>104995.168262135-712.256365469612j</v>
      </c>
      <c r="AK81" s="86" t="str">
        <f t="shared" si="28"/>
        <v>20000-5.49844467648448E-07j</v>
      </c>
      <c r="AL81" s="86" t="str">
        <f t="shared" si="43"/>
        <v>10000-16166187.7346962j</v>
      </c>
      <c r="AM81" s="86" t="str">
        <f t="shared" si="44"/>
        <v>963.13894481297-5017093.15612895j</v>
      </c>
      <c r="AN81" s="86" t="str">
        <f t="shared" si="45"/>
        <v>10963.138944813-5017093.15612895j</v>
      </c>
      <c r="AO81" s="86" t="str">
        <f t="shared" si="46"/>
        <v>19999.5079784714-79.7244053040947j</v>
      </c>
      <c r="AP81" s="86" t="str">
        <f t="shared" si="47"/>
        <v>0.160000989584303+0.000911729024693115j</v>
      </c>
      <c r="AQ81" s="86" t="str">
        <f t="shared" si="29"/>
        <v>1+0.0420631017751063j</v>
      </c>
      <c r="AR81" s="86">
        <f t="shared" si="30"/>
        <v>9.9999421795904913E-8</v>
      </c>
      <c r="AS81" s="86" t="str">
        <f t="shared" si="31"/>
        <v>1.65375345923455E-06j</v>
      </c>
      <c r="AT81" s="86" t="str">
        <f t="shared" si="32"/>
        <v>9.99994217959049E-08+1.65375345923455E-06j</v>
      </c>
      <c r="AU81" s="86" t="str">
        <f t="shared" si="33"/>
        <v>9.26598771594781-90.1424609294766j</v>
      </c>
      <c r="AW81" s="86" t="str">
        <f t="shared" si="48"/>
        <v>1.55097572409952-14.4159176408495j</v>
      </c>
      <c r="AX81" s="86">
        <f t="shared" si="34"/>
        <v>23.226827231826526</v>
      </c>
      <c r="AY81" s="86">
        <f t="shared" si="35"/>
        <v>96.140701914323245</v>
      </c>
      <c r="AZ81" s="86" t="str">
        <f t="shared" si="36"/>
        <v>8.31072655570673-80.2213723343708j</v>
      </c>
      <c r="BA81" s="86">
        <f t="shared" si="37"/>
        <v>38.132163720935218</v>
      </c>
      <c r="BB81" s="86">
        <f t="shared" si="38"/>
        <v>95.91459537713709</v>
      </c>
      <c r="BD81" s="86" t="str">
        <f t="shared" si="39"/>
        <v>5.34629202848526-59.6452932594899j</v>
      </c>
      <c r="BE81" s="86">
        <f t="shared" si="40"/>
        <v>35.546277058822668</v>
      </c>
      <c r="BF81" s="86">
        <f t="shared" si="41"/>
        <v>95.122005775124549</v>
      </c>
      <c r="BH81" s="86">
        <f t="shared" si="49"/>
        <v>-34.546277058822668</v>
      </c>
      <c r="BI81" s="162">
        <f t="shared" si="50"/>
        <v>-95.122005775124549</v>
      </c>
      <c r="BJ81" s="88"/>
      <c r="BK81" s="88"/>
      <c r="BL81" s="88"/>
      <c r="BM81" s="88"/>
      <c r="BN81" s="42"/>
      <c r="BO81" s="42"/>
      <c r="BP81" s="42"/>
    </row>
    <row r="82" spans="1:68" s="86" customFormat="1">
      <c r="A82" s="86">
        <v>18</v>
      </c>
      <c r="B82" s="86">
        <f t="shared" si="42"/>
        <v>229.08676527677733</v>
      </c>
      <c r="C82" s="86" t="str">
        <f t="shared" si="0"/>
        <v>1439.39459765635j</v>
      </c>
      <c r="D82" s="86">
        <f t="shared" si="1"/>
        <v>0.99999935388432104</v>
      </c>
      <c r="E82" s="86" t="str">
        <f t="shared" si="2"/>
        <v>-0.00126262684004943j</v>
      </c>
      <c r="F82" s="86" t="str">
        <f t="shared" si="3"/>
        <v>0.999999353884321-0.00126262684004943j</v>
      </c>
      <c r="G82" s="86">
        <f t="shared" si="4"/>
        <v>1.3115500158672418E-6</v>
      </c>
      <c r="H82" s="86">
        <f t="shared" si="5"/>
        <v>-7.234319733302258E-2</v>
      </c>
      <c r="J82" s="86">
        <f t="shared" si="6"/>
        <v>8.3707025411061284</v>
      </c>
      <c r="K82" s="86" t="str">
        <f t="shared" si="7"/>
        <v>1+0.0617962944943821j</v>
      </c>
      <c r="L82" s="86">
        <f t="shared" si="8"/>
        <v>0.99975801548660725</v>
      </c>
      <c r="M82" s="86" t="str">
        <f t="shared" si="9"/>
        <v>0.00423932906650551j</v>
      </c>
      <c r="N82" s="86" t="str">
        <f t="shared" si="10"/>
        <v>0.999758015486607+0.00423932906650551j</v>
      </c>
      <c r="O82" s="86" t="str">
        <f t="shared" si="11"/>
        <v>1.00048615539195+0.0575688352217704j</v>
      </c>
      <c r="P82" s="86" t="str">
        <f t="shared" si="12"/>
        <v>8.3747720032809+0.481891595279393j</v>
      </c>
      <c r="R82" s="86">
        <f t="shared" si="13"/>
        <v>11.958146487294469</v>
      </c>
      <c r="S82" s="86" t="str">
        <f t="shared" si="14"/>
        <v>1+0.000107954594824226j</v>
      </c>
      <c r="T82" s="86" t="str">
        <f t="shared" si="15"/>
        <v>0.999758015486607+0.00423932906650551j</v>
      </c>
      <c r="U82" s="86" t="str">
        <f t="shared" si="16"/>
        <v>1.00022451631181-0.00413332647120269j</v>
      </c>
      <c r="V82" s="86" t="str">
        <f t="shared" si="17"/>
        <v>11.9608312862399-0.0494269234224537j</v>
      </c>
      <c r="X82" s="86" t="str">
        <f t="shared" si="18"/>
        <v>0.346660953811818+0.0195080488840334j</v>
      </c>
      <c r="Y82" s="86">
        <f t="shared" si="19"/>
        <v>-9.1881700301647626</v>
      </c>
      <c r="Z82" s="86">
        <f t="shared" si="20"/>
        <v>-176.77912604476302</v>
      </c>
      <c r="AB82" s="86" t="str">
        <f t="shared" si="21"/>
        <v>5.56252559080657-0.0229865734105398j</v>
      </c>
      <c r="AC82" s="86">
        <f t="shared" si="22"/>
        <v>14.905514602557854</v>
      </c>
      <c r="AD82" s="86">
        <f t="shared" si="23"/>
        <v>179.76323234408594</v>
      </c>
      <c r="AF82" s="86" t="str">
        <f t="shared" si="24"/>
        <v>4.12949198467398-0.0768901070612411j</v>
      </c>
      <c r="AG82" s="86">
        <f t="shared" si="25"/>
        <v>12.319437966370764</v>
      </c>
      <c r="AH82" s="86">
        <f t="shared" si="26"/>
        <v>178.93329019068344</v>
      </c>
      <c r="AJ82" s="86" t="str">
        <f t="shared" si="27"/>
        <v>104994.702128302-745.820662673385j</v>
      </c>
      <c r="AK82" s="86" t="str">
        <f t="shared" si="28"/>
        <v>20000-5.7575783906254E-07j</v>
      </c>
      <c r="AL82" s="86" t="str">
        <f t="shared" si="43"/>
        <v>9999.99999999999-15438589.4308655j</v>
      </c>
      <c r="AM82" s="86" t="str">
        <f t="shared" si="44"/>
        <v>963.138927902064-4791286.8053387j</v>
      </c>
      <c r="AN82" s="86" t="str">
        <f t="shared" si="45"/>
        <v>10963.1389279021-4791286.8053387j</v>
      </c>
      <c r="AO82" s="86" t="str">
        <f t="shared" si="46"/>
        <v>19999.460511113-83.4813933583632j</v>
      </c>
      <c r="AP82" s="86" t="str">
        <f t="shared" si="47"/>
        <v>0.160001085057488+0.000954697381333098j</v>
      </c>
      <c r="AQ82" s="86" t="str">
        <f t="shared" si="29"/>
        <v>1+0.0440454746882843j</v>
      </c>
      <c r="AR82" s="86">
        <f t="shared" si="30"/>
        <v>9.9999366011816823E-8</v>
      </c>
      <c r="AS82" s="86" t="str">
        <f t="shared" si="31"/>
        <v>1.73169245860243E-06j</v>
      </c>
      <c r="AT82" s="86" t="str">
        <f t="shared" si="32"/>
        <v>9.99993660118168E-08+1.73169245860243E-06j</v>
      </c>
      <c r="AU82" s="86" t="str">
        <f t="shared" si="33"/>
        <v>8.78797221044031-86.1129859460007j</v>
      </c>
      <c r="AW82" s="86" t="str">
        <f t="shared" si="48"/>
        <v>1.47451578976388-13.7712574586406j</v>
      </c>
      <c r="AX82" s="86">
        <f t="shared" si="34"/>
        <v>22.828978007816385</v>
      </c>
      <c r="AY82" s="86">
        <f t="shared" si="35"/>
        <v>96.11148860887981</v>
      </c>
      <c r="AZ82" s="86" t="str">
        <f t="shared" si="36"/>
        <v>7.88547779408145-76.6368660967205j</v>
      </c>
      <c r="BA82" s="86">
        <f t="shared" si="37"/>
        <v>37.734492610374232</v>
      </c>
      <c r="BB82" s="86">
        <f t="shared" si="38"/>
        <v>95.874720952965731</v>
      </c>
      <c r="BD82" s="86" t="str">
        <f t="shared" si="39"/>
        <v>5.03012767474237-56.9816729712764j</v>
      </c>
      <c r="BE82" s="86">
        <f t="shared" si="40"/>
        <v>35.148415974187131</v>
      </c>
      <c r="BF82" s="86">
        <f t="shared" si="41"/>
        <v>95.044778799563261</v>
      </c>
      <c r="BH82" s="86">
        <f t="shared" si="49"/>
        <v>-34.148415974187131</v>
      </c>
      <c r="BI82" s="162">
        <f t="shared" si="50"/>
        <v>-95.044778799563261</v>
      </c>
      <c r="BJ82" s="88"/>
      <c r="BK82" s="88"/>
      <c r="BL82" s="88"/>
      <c r="BM82" s="88"/>
      <c r="BN82" s="42"/>
      <c r="BO82" s="42"/>
      <c r="BP82" s="42"/>
    </row>
    <row r="83" spans="1:68" s="86" customFormat="1">
      <c r="A83" s="86">
        <v>19</v>
      </c>
      <c r="B83" s="86">
        <f t="shared" si="42"/>
        <v>239.88329190194909</v>
      </c>
      <c r="C83" s="86" t="str">
        <f t="shared" si="0"/>
        <v>1507.2311751162j</v>
      </c>
      <c r="D83" s="86">
        <f t="shared" si="1"/>
        <v>0.99999929154824585</v>
      </c>
      <c r="E83" s="86" t="str">
        <f t="shared" si="2"/>
        <v>-0.00132213260975105j</v>
      </c>
      <c r="F83" s="86" t="str">
        <f t="shared" si="3"/>
        <v>0.999999291548246-0.00132213260975105j</v>
      </c>
      <c r="G83" s="86">
        <f t="shared" si="4"/>
        <v>1.4380861665181799E-6</v>
      </c>
      <c r="H83" s="86">
        <f t="shared" si="5"/>
        <v>-7.5752628023017882E-2</v>
      </c>
      <c r="J83" s="86">
        <f t="shared" si="6"/>
        <v>8.3707025411061284</v>
      </c>
      <c r="K83" s="86" t="str">
        <f t="shared" si="7"/>
        <v>1+0.064708664128828j</v>
      </c>
      <c r="L83" s="86">
        <f t="shared" si="8"/>
        <v>0.99973466925726062</v>
      </c>
      <c r="M83" s="86" t="str">
        <f t="shared" si="9"/>
        <v>0.00443912249011989j</v>
      </c>
      <c r="N83" s="86" t="str">
        <f t="shared" si="10"/>
        <v>0.999734669257261+0.00443912249011989j</v>
      </c>
      <c r="O83" s="86" t="str">
        <f t="shared" si="11"/>
        <v>1.00053307656106+0.0602831702248874j</v>
      </c>
      <c r="P83" s="86" t="str">
        <f t="shared" si="12"/>
        <v>8.3751647664304+0.504612486187398j</v>
      </c>
      <c r="R83" s="86">
        <f t="shared" si="13"/>
        <v>11.958146487294469</v>
      </c>
      <c r="S83" s="86" t="str">
        <f t="shared" si="14"/>
        <v>1+0.000113042338133715j</v>
      </c>
      <c r="T83" s="86" t="str">
        <f t="shared" si="15"/>
        <v>0.999734669257261+0.00443912249011989j</v>
      </c>
      <c r="U83" s="86" t="str">
        <f t="shared" si="16"/>
        <v>1.00024618211346-0.00432832142128021j</v>
      </c>
      <c r="V83" s="86" t="str">
        <f t="shared" si="17"/>
        <v>11.9610903690698-0.0517587015997633j</v>
      </c>
      <c r="X83" s="86" t="str">
        <f t="shared" si="18"/>
        <v>0.346679619113298+0.0204278276559331j</v>
      </c>
      <c r="Y83" s="86">
        <f t="shared" si="19"/>
        <v>-9.1863809189552814</v>
      </c>
      <c r="Z83" s="86">
        <f t="shared" si="20"/>
        <v>-176.62778986972901</v>
      </c>
      <c r="AB83" s="86" t="str">
        <f t="shared" si="21"/>
        <v>5.56264608033083-0.0240709943402365j</v>
      </c>
      <c r="AC83" s="86">
        <f t="shared" si="22"/>
        <v>14.905709903938975</v>
      </c>
      <c r="AD83" s="86">
        <f t="shared" si="23"/>
        <v>179.75206803449379</v>
      </c>
      <c r="AF83" s="86" t="str">
        <f t="shared" si="24"/>
        <v>4.12941674003779-0.0805135878544334j</v>
      </c>
      <c r="AG83" s="86">
        <f t="shared" si="25"/>
        <v>12.31942495954682</v>
      </c>
      <c r="AH83" s="86">
        <f t="shared" si="26"/>
        <v>178.88301311348232</v>
      </c>
      <c r="AJ83" s="86" t="str">
        <f t="shared" si="27"/>
        <v>104994.191027474-780.966305948599j</v>
      </c>
      <c r="AK83" s="86" t="str">
        <f t="shared" si="28"/>
        <v>20000-6.0289247004648E-07j</v>
      </c>
      <c r="AL83" s="86" t="str">
        <f t="shared" si="43"/>
        <v>10000-14743738.4451055j</v>
      </c>
      <c r="AM83" s="86" t="str">
        <f t="shared" si="44"/>
        <v>963.138909359631-4575643.41624159j</v>
      </c>
      <c r="AN83" s="86" t="str">
        <f t="shared" si="45"/>
        <v>10963.1389093596-4575643.41624159j</v>
      </c>
      <c r="AO83" s="86" t="str">
        <f t="shared" si="46"/>
        <v>19999.4084645923-87.4153972632145j</v>
      </c>
      <c r="AP83" s="86" t="str">
        <f t="shared" si="47"/>
        <v>0.16000118974173+0.000999690758157595j</v>
      </c>
      <c r="AQ83" s="86" t="str">
        <f t="shared" si="29"/>
        <v>1+0.0461212739585557j</v>
      </c>
      <c r="AR83" s="86">
        <f t="shared" si="30"/>
        <v>9.9999304845780528E-8</v>
      </c>
      <c r="AS83" s="86" t="str">
        <f t="shared" si="31"/>
        <v>1.81330460984705E-06j</v>
      </c>
      <c r="AT83" s="86" t="str">
        <f t="shared" si="32"/>
        <v>9.99993048457805E-08+1.81330460984705E-06j</v>
      </c>
      <c r="AU83" s="86" t="str">
        <f t="shared" si="33"/>
        <v>8.35174952511276-82.2613200469525j</v>
      </c>
      <c r="AW83" s="86" t="str">
        <f t="shared" si="48"/>
        <v>1.40474084758247-13.1550324858635j</v>
      </c>
      <c r="AX83" s="86">
        <f t="shared" si="34"/>
        <v>22.431079683232209</v>
      </c>
      <c r="AY83" s="86">
        <f t="shared" si="35"/>
        <v>96.095148700956543</v>
      </c>
      <c r="AZ83" s="86" t="str">
        <f t="shared" si="36"/>
        <v>7.49742145717239-73.210603403105j</v>
      </c>
      <c r="BA83" s="86">
        <f t="shared" si="37"/>
        <v>37.336789587171182</v>
      </c>
      <c r="BB83" s="86">
        <f t="shared" si="38"/>
        <v>95.847216735450345</v>
      </c>
      <c r="BD83" s="86" t="str">
        <f t="shared" si="39"/>
        <v>4.74160150764343-54.4357120885103j</v>
      </c>
      <c r="BE83" s="86">
        <f t="shared" si="40"/>
        <v>34.750504642779035</v>
      </c>
      <c r="BF83" s="86">
        <f t="shared" si="41"/>
        <v>94.978161814438877</v>
      </c>
      <c r="BH83" s="86">
        <f t="shared" si="49"/>
        <v>-33.750504642779035</v>
      </c>
      <c r="BI83" s="162">
        <f t="shared" si="50"/>
        <v>-94.978161814438877</v>
      </c>
      <c r="BJ83" s="88"/>
      <c r="BK83" s="88"/>
      <c r="BL83" s="88"/>
      <c r="BM83" s="88"/>
      <c r="BN83" s="42"/>
      <c r="BO83" s="42"/>
      <c r="BP83" s="42"/>
    </row>
    <row r="84" spans="1:68" s="86" customFormat="1">
      <c r="A84" s="86">
        <v>20</v>
      </c>
      <c r="B84" s="86">
        <f t="shared" si="42"/>
        <v>251.18864315095806</v>
      </c>
      <c r="C84" s="86" t="str">
        <f t="shared" si="0"/>
        <v>1578.26479197648j</v>
      </c>
      <c r="D84" s="86">
        <f t="shared" si="1"/>
        <v>0.99999922319809853</v>
      </c>
      <c r="E84" s="86" t="str">
        <f t="shared" si="2"/>
        <v>-0.00138444279997937j</v>
      </c>
      <c r="F84" s="86" t="str">
        <f t="shared" si="3"/>
        <v>0.999999223198099-0.00138444279997937j</v>
      </c>
      <c r="G84" s="86">
        <f t="shared" si="4"/>
        <v>1.5768303324002093E-6</v>
      </c>
      <c r="H84" s="86">
        <f t="shared" si="5"/>
        <v>-7.9322740355315002E-2</v>
      </c>
      <c r="J84" s="86">
        <f t="shared" si="6"/>
        <v>8.3707025411061284</v>
      </c>
      <c r="K84" s="86" t="str">
        <f t="shared" si="7"/>
        <v>1+0.0677582895155331j</v>
      </c>
      <c r="L84" s="86">
        <f t="shared" si="8"/>
        <v>0.99970907062581971</v>
      </c>
      <c r="M84" s="86" t="str">
        <f t="shared" si="9"/>
        <v>0.00464833188769934j</v>
      </c>
      <c r="N84" s="86" t="str">
        <f t="shared" si="10"/>
        <v>0.99970907062582+0.00464833188769934j</v>
      </c>
      <c r="O84" s="86" t="str">
        <f t="shared" si="11"/>
        <v>1.00058452819623+0.0631256056397235j</v>
      </c>
      <c r="P84" s="86" t="str">
        <f t="shared" si="12"/>
        <v>8.37559545276366+0.528405667537297j</v>
      </c>
      <c r="R84" s="86">
        <f t="shared" si="13"/>
        <v>11.958146487294469</v>
      </c>
      <c r="S84" s="86" t="str">
        <f t="shared" si="14"/>
        <v>1+0.000118369859398236j</v>
      </c>
      <c r="T84" s="86" t="str">
        <f t="shared" si="15"/>
        <v>0.99970907062582+0.00464833188769934j</v>
      </c>
      <c r="U84" s="86" t="str">
        <f t="shared" si="16"/>
        <v>1.00026993917838-0.00453253544289158j</v>
      </c>
      <c r="V84" s="86" t="str">
        <f t="shared" si="17"/>
        <v>11.9613744595322-0.0542007227849516j</v>
      </c>
      <c r="X84" s="86" t="str">
        <f t="shared" si="18"/>
        <v>0.346700086564216+0.021391012469392j</v>
      </c>
      <c r="Y84" s="86">
        <f t="shared" si="19"/>
        <v>-9.1844198647866673</v>
      </c>
      <c r="Z84" s="86">
        <f t="shared" si="20"/>
        <v>-176.46938919401225</v>
      </c>
      <c r="AB84" s="86" t="str">
        <f t="shared" si="21"/>
        <v>5.56277819994939-0.0252066850803549j</v>
      </c>
      <c r="AC84" s="86">
        <f t="shared" si="22"/>
        <v>14.90592405229501</v>
      </c>
      <c r="AD84" s="86">
        <f t="shared" si="23"/>
        <v>179.74037670852701</v>
      </c>
      <c r="AF84" s="86" t="str">
        <f t="shared" si="24"/>
        <v>4.12933423423054-0.0843078026858458j</v>
      </c>
      <c r="AG84" s="86">
        <f t="shared" si="25"/>
        <v>12.31941069555532</v>
      </c>
      <c r="AH84" s="86">
        <f t="shared" si="26"/>
        <v>178.83036587035394</v>
      </c>
      <c r="AJ84" s="86" t="str">
        <f t="shared" si="27"/>
        <v>104993.63062228-817.767749176103j</v>
      </c>
      <c r="AK84" s="86" t="str">
        <f t="shared" si="28"/>
        <v>20000-6.31305916790592E-07j</v>
      </c>
      <c r="AL84" s="86" t="str">
        <f t="shared" si="43"/>
        <v>10000-14080160.9053149j</v>
      </c>
      <c r="AM84" s="86" t="str">
        <f t="shared" si="44"/>
        <v>963.138889028259-4369705.58029752j</v>
      </c>
      <c r="AN84" s="86" t="str">
        <f t="shared" si="45"/>
        <v>10963.1388890283-4369705.58029752j</v>
      </c>
      <c r="AO84" s="86" t="str">
        <f t="shared" si="46"/>
        <v>19999.3513972013-91.5347527722427j</v>
      </c>
      <c r="AP84" s="86" t="str">
        <f t="shared" si="47"/>
        <v>0.160001304525688+0.00104680458904594j</v>
      </c>
      <c r="AQ84" s="86" t="str">
        <f t="shared" si="29"/>
        <v>1+0.0482949026344803j</v>
      </c>
      <c r="AR84" s="86">
        <f t="shared" si="30"/>
        <v>9.9999237778555396E-8</v>
      </c>
      <c r="AS84" s="86" t="str">
        <f t="shared" si="31"/>
        <v>1.89876302328314E-06j</v>
      </c>
      <c r="AT84" s="86" t="str">
        <f t="shared" si="32"/>
        <v>9.99992377785554E-08+1.89876302328314E-06j</v>
      </c>
      <c r="AU84" s="86" t="str">
        <f t="shared" si="33"/>
        <v>7.95368712916204-78.5799151974036j</v>
      </c>
      <c r="AW84" s="86" t="str">
        <f t="shared" si="48"/>
        <v>1.34106986500442-12.5660350965981j</v>
      </c>
      <c r="AX84" s="86">
        <f t="shared" si="34"/>
        <v>22.033149954383017</v>
      </c>
      <c r="AY84" s="86">
        <f t="shared" si="35"/>
        <v>96.091651419013928</v>
      </c>
      <c r="AZ84" s="86" t="str">
        <f t="shared" si="36"/>
        <v>7.14332612026702-69.9358700209127j</v>
      </c>
      <c r="BA84" s="86">
        <f t="shared" si="37"/>
        <v>36.939074006678027</v>
      </c>
      <c r="BB84" s="86">
        <f t="shared" si="38"/>
        <v>95.832028127540951</v>
      </c>
      <c r="BD84" s="86" t="str">
        <f t="shared" si="39"/>
        <v>4.47831089659028-52.0024215664917j</v>
      </c>
      <c r="BE84" s="86">
        <f t="shared" si="40"/>
        <v>34.352560649938333</v>
      </c>
      <c r="BF84" s="86">
        <f t="shared" si="41"/>
        <v>94.922017289367886</v>
      </c>
      <c r="BH84" s="86">
        <f t="shared" si="49"/>
        <v>-33.352560649938333</v>
      </c>
      <c r="BI84" s="162">
        <f t="shared" si="50"/>
        <v>-94.922017289367886</v>
      </c>
      <c r="BJ84" s="88"/>
      <c r="BK84" s="88"/>
      <c r="BL84" s="88"/>
      <c r="BM84" s="88"/>
      <c r="BN84" s="42"/>
      <c r="BO84" s="42"/>
      <c r="BP84" s="42"/>
    </row>
    <row r="85" spans="1:68" s="86" customFormat="1">
      <c r="A85" s="86">
        <v>21</v>
      </c>
      <c r="B85" s="86">
        <f t="shared" si="42"/>
        <v>263.02679918953822</v>
      </c>
      <c r="C85" s="86" t="str">
        <f t="shared" si="0"/>
        <v>1652.64612006218j</v>
      </c>
      <c r="D85" s="86">
        <f t="shared" si="1"/>
        <v>0.99999914825365233</v>
      </c>
      <c r="E85" s="86" t="str">
        <f t="shared" si="2"/>
        <v>-0.00144968957900191j</v>
      </c>
      <c r="F85" s="86" t="str">
        <f t="shared" si="3"/>
        <v>0.999999148253652-0.00144968957900191j</v>
      </c>
      <c r="G85" s="86">
        <f t="shared" si="4"/>
        <v>1.7289603191177372E-6</v>
      </c>
      <c r="H85" s="86">
        <f t="shared" si="5"/>
        <v>-8.3061107040813473E-2</v>
      </c>
      <c r="J85" s="86">
        <f t="shared" si="6"/>
        <v>8.3707025411061284</v>
      </c>
      <c r="K85" s="86" t="str">
        <f t="shared" si="7"/>
        <v>1+0.0709516393188124j</v>
      </c>
      <c r="L85" s="86">
        <f t="shared" si="8"/>
        <v>0.99968100228459378</v>
      </c>
      <c r="M85" s="86" t="str">
        <f t="shared" si="9"/>
        <v>0.00486740102042529j</v>
      </c>
      <c r="N85" s="86" t="str">
        <f t="shared" si="10"/>
        <v>0.999681002284594+0.00486740102042529j</v>
      </c>
      <c r="O85" s="86" t="str">
        <f t="shared" si="11"/>
        <v>1.00064094811646+0.0661022049992491j</v>
      </c>
      <c r="P85" s="86" t="str">
        <f t="shared" si="12"/>
        <v>8.3760677271333+0.553321895359933j</v>
      </c>
      <c r="R85" s="86">
        <f t="shared" si="13"/>
        <v>11.958146487294469</v>
      </c>
      <c r="S85" s="86" t="str">
        <f t="shared" si="14"/>
        <v>1+0.000123948459004663j</v>
      </c>
      <c r="T85" s="86" t="str">
        <f t="shared" si="15"/>
        <v>0.999681002284594+0.00486740102042529j</v>
      </c>
      <c r="U85" s="86" t="str">
        <f t="shared" si="16"/>
        <v>1.00029598946737-0.00474640735395845j</v>
      </c>
      <c r="V85" s="86" t="str">
        <f t="shared" si="17"/>
        <v>11.961685972704-0.0567582344270069j</v>
      </c>
      <c r="X85" s="86" t="str">
        <f t="shared" si="18"/>
        <v>0.346722530306881+0.0223996576152724j</v>
      </c>
      <c r="Y85" s="86">
        <f t="shared" si="19"/>
        <v>-9.182270413224332</v>
      </c>
      <c r="Z85" s="86">
        <f t="shared" si="20"/>
        <v>-176.30360105405165</v>
      </c>
      <c r="AB85" s="86" t="str">
        <f t="shared" si="21"/>
        <v>5.56292307282223-0.0263960860189071j</v>
      </c>
      <c r="AC85" s="86">
        <f t="shared" si="22"/>
        <v>14.906158866889163</v>
      </c>
      <c r="AD85" s="86">
        <f t="shared" si="23"/>
        <v>179.7281334013733</v>
      </c>
      <c r="AF85" s="86" t="str">
        <f t="shared" si="24"/>
        <v>4.12924376636318-0.0882807927542049j</v>
      </c>
      <c r="AG85" s="86">
        <f t="shared" si="25"/>
        <v>12.31939505264368</v>
      </c>
      <c r="AH85" s="86">
        <f t="shared" si="26"/>
        <v>178.77523665807158</v>
      </c>
      <c r="AJ85" s="86" t="str">
        <f t="shared" si="27"/>
        <v>104993.01615708-856.302944377054j</v>
      </c>
      <c r="AK85" s="86" t="str">
        <f t="shared" si="28"/>
        <v>20000-6.61058448024872E-07j</v>
      </c>
      <c r="AL85" s="86" t="str">
        <f t="shared" si="43"/>
        <v>10000-13446449.2745647j</v>
      </c>
      <c r="AM85" s="86" t="str">
        <f t="shared" si="44"/>
        <v>963.138866735346-4173036.47574591j</v>
      </c>
      <c r="AN85" s="86" t="str">
        <f t="shared" si="45"/>
        <v>10963.1388667353-4173036.47574591j</v>
      </c>
      <c r="AO85" s="86" t="str">
        <f t="shared" si="46"/>
        <v>19999.2888246334-95.8481874916824j</v>
      </c>
      <c r="AP85" s="86" t="str">
        <f t="shared" si="47"/>
        <v>0.160001430383758+0.00109613880518478j</v>
      </c>
      <c r="AQ85" s="86" t="str">
        <f t="shared" si="29"/>
        <v>1+0.0505709712739027j</v>
      </c>
      <c r="AR85" s="86">
        <f t="shared" si="30"/>
        <v>9.9999164240805359E-8</v>
      </c>
      <c r="AS85" s="86" t="str">
        <f t="shared" si="31"/>
        <v>1.98824896766321E-06j</v>
      </c>
      <c r="AT85" s="86" t="str">
        <f t="shared" si="32"/>
        <v>9.99991642408054E-08+1.98824896766321E-06j</v>
      </c>
      <c r="AU85" s="86" t="str">
        <f t="shared" si="33"/>
        <v>7.59046462786369-75.0615050269168j</v>
      </c>
      <c r="AW85" s="86" t="str">
        <f t="shared" si="48"/>
        <v>1.28297173747488-12.0031027048074j</v>
      </c>
      <c r="AX85" s="86">
        <f t="shared" si="34"/>
        <v>21.635206259756423</v>
      </c>
      <c r="AY85" s="86">
        <f t="shared" si="35"/>
        <v>96.100991602567788</v>
      </c>
      <c r="AZ85" s="86" t="str">
        <f t="shared" si="36"/>
        <v>6.82023814868796-66.8062024143702j</v>
      </c>
      <c r="BA85" s="86">
        <f t="shared" si="37"/>
        <v>36.54136512664558</v>
      </c>
      <c r="BB85" s="86">
        <f t="shared" si="38"/>
        <v>95.829125003941087</v>
      </c>
      <c r="BD85" s="86" t="str">
        <f t="shared" si="39"/>
        <v>4.23805962709774-49.6769987829085j</v>
      </c>
      <c r="BE85" s="86">
        <f t="shared" si="40"/>
        <v>33.954601312400101</v>
      </c>
      <c r="BF85" s="86">
        <f t="shared" si="41"/>
        <v>94.876228260639365</v>
      </c>
      <c r="BH85" s="86">
        <f t="shared" si="49"/>
        <v>-32.954601312400101</v>
      </c>
      <c r="BI85" s="162">
        <f t="shared" si="50"/>
        <v>-94.876228260639365</v>
      </c>
      <c r="BJ85" s="88"/>
      <c r="BK85" s="88"/>
      <c r="BL85" s="88"/>
      <c r="BM85" s="88"/>
      <c r="BN85" s="42"/>
      <c r="BO85" s="42"/>
      <c r="BP85" s="42"/>
    </row>
    <row r="86" spans="1:68" s="86" customFormat="1">
      <c r="A86" s="86">
        <v>22</v>
      </c>
      <c r="B86" s="86">
        <f t="shared" si="42"/>
        <v>275.4228703338166</v>
      </c>
      <c r="C86" s="86" t="str">
        <f t="shared" si="0"/>
        <v>1730.53293214266j</v>
      </c>
      <c r="D86" s="86">
        <f t="shared" si="1"/>
        <v>0.99999906607870115</v>
      </c>
      <c r="E86" s="86" t="str">
        <f t="shared" si="2"/>
        <v>-0.00151801134398479j</v>
      </c>
      <c r="F86" s="86" t="str">
        <f t="shared" si="3"/>
        <v>0.999999066078701-0.00151801134398479j</v>
      </c>
      <c r="G86" s="86">
        <f t="shared" si="4"/>
        <v>1.8957675916019503E-6</v>
      </c>
      <c r="H86" s="86">
        <f t="shared" si="5"/>
        <v>-8.6975657684011179E-2</v>
      </c>
      <c r="J86" s="86">
        <f t="shared" si="6"/>
        <v>8.3707025411061284</v>
      </c>
      <c r="K86" s="86" t="str">
        <f t="shared" si="7"/>
        <v>1+0.074295487061739j</v>
      </c>
      <c r="L86" s="86">
        <f t="shared" si="8"/>
        <v>0.99965022596043762</v>
      </c>
      <c r="M86" s="86" t="str">
        <f t="shared" si="9"/>
        <v>0.00509679456329939j</v>
      </c>
      <c r="N86" s="86" t="str">
        <f t="shared" si="10"/>
        <v>0.999650225960438+0.00509679456329939j</v>
      </c>
      <c r="O86" s="86" t="str">
        <f t="shared" si="11"/>
        <v>1.00070281652808+0.0692193215086801j</v>
      </c>
      <c r="P86" s="86" t="str">
        <f t="shared" si="12"/>
        <v>8.37658560920366+0.579414350446351j</v>
      </c>
      <c r="R86" s="86">
        <f t="shared" si="13"/>
        <v>11.958146487294469</v>
      </c>
      <c r="S86" s="86" t="str">
        <f t="shared" si="14"/>
        <v>1+0.000129789969910699j</v>
      </c>
      <c r="T86" s="86" t="str">
        <f t="shared" si="15"/>
        <v>0.999650225960438+0.00509679456329939j</v>
      </c>
      <c r="U86" s="86" t="str">
        <f t="shared" si="16"/>
        <v>1.00032455446637-0.0049703972967691j</v>
      </c>
      <c r="V86" s="86" t="str">
        <f t="shared" si="17"/>
        <v>11.9620275571464-0.0594367389748173j</v>
      </c>
      <c r="X86" s="86" t="str">
        <f t="shared" si="18"/>
        <v>0.346747141340038+0.0234559154793839j</v>
      </c>
      <c r="Y86" s="86">
        <f t="shared" si="19"/>
        <v>-9.179914549299875</v>
      </c>
      <c r="Z86" s="86">
        <f t="shared" si="20"/>
        <v>-176.13008872756706</v>
      </c>
      <c r="AB86" s="86" t="str">
        <f t="shared" si="21"/>
        <v>5.56308193069396-0.0276417561346145j</v>
      </c>
      <c r="AC86" s="86">
        <f t="shared" si="22"/>
        <v>14.906416342693747</v>
      </c>
      <c r="AD86" s="86">
        <f t="shared" si="23"/>
        <v>179.71531195278484</v>
      </c>
      <c r="AF86" s="86" t="str">
        <f t="shared" si="24"/>
        <v>4.12914456785622-0.0924409774477282j</v>
      </c>
      <c r="AG86" s="86">
        <f t="shared" si="25"/>
        <v>12.319377897218436</v>
      </c>
      <c r="AH86" s="86">
        <f t="shared" si="26"/>
        <v>178.71750838936842</v>
      </c>
      <c r="AJ86" s="86" t="str">
        <f t="shared" si="27"/>
        <v>104992.342417652-896.653504981251j</v>
      </c>
      <c r="AK86" s="86" t="str">
        <f t="shared" si="28"/>
        <v>20000-6.92213172857064E-07j</v>
      </c>
      <c r="AL86" s="86" t="str">
        <f t="shared" si="43"/>
        <v>10000-12841259.3655226j</v>
      </c>
      <c r="AM86" s="86" t="str">
        <f t="shared" si="44"/>
        <v>963.13884229166-3985218.9410481j</v>
      </c>
      <c r="AN86" s="86" t="str">
        <f t="shared" si="45"/>
        <v>10963.1388422917-3985218.9410481j</v>
      </c>
      <c r="AO86" s="86" t="str">
        <f t="shared" si="46"/>
        <v>19999.2202158769-100.364839199848j</v>
      </c>
      <c r="AP86" s="86" t="str">
        <f t="shared" si="47"/>
        <v>0.160001568384345+0.0011477980469674j</v>
      </c>
      <c r="AQ86" s="86" t="str">
        <f t="shared" si="29"/>
        <v>1+0.0529543077235654j</v>
      </c>
      <c r="AR86" s="86">
        <f t="shared" si="30"/>
        <v>9.9999083608265852E-8</v>
      </c>
      <c r="AS86" s="86" t="str">
        <f t="shared" si="31"/>
        <v>2.08195225467287E-06j</v>
      </c>
      <c r="AT86" s="86" t="str">
        <f t="shared" si="32"/>
        <v>9.99990836082659E-08+2.08195225467287E-06j</v>
      </c>
      <c r="AU86" s="86" t="str">
        <f t="shared" si="33"/>
        <v>7.25904754628998-71.6990995170334j</v>
      </c>
      <c r="AW86" s="86" t="str">
        <f t="shared" si="48"/>
        <v>1.22996109508585-11.4651169139441j</v>
      </c>
      <c r="AX86" s="86">
        <f t="shared" si="34"/>
        <v>21.237265923464861</v>
      </c>
      <c r="AY86" s="86">
        <f t="shared" si="35"/>
        <v>96.12318973340507</v>
      </c>
      <c r="AZ86" s="86" t="str">
        <f t="shared" si="36"/>
        <v>6.52545837773856-63.8153830219016j</v>
      </c>
      <c r="BA86" s="86">
        <f t="shared" si="37"/>
        <v>36.143682266158613</v>
      </c>
      <c r="BB86" s="86">
        <f t="shared" si="38"/>
        <v>95.838501686189915</v>
      </c>
      <c r="BD86" s="86" t="str">
        <f t="shared" si="39"/>
        <v>4.01884056037075-47.4548240309012j</v>
      </c>
      <c r="BE86" s="86">
        <f t="shared" si="40"/>
        <v>33.556643820683306</v>
      </c>
      <c r="BF86" s="86">
        <f t="shared" si="41"/>
        <v>94.840698122773489</v>
      </c>
      <c r="BH86" s="86">
        <f t="shared" si="49"/>
        <v>-32.556643820683306</v>
      </c>
      <c r="BI86" s="162">
        <f t="shared" si="50"/>
        <v>-94.840698122773489</v>
      </c>
      <c r="BJ86" s="88"/>
      <c r="BK86" s="88"/>
      <c r="BL86" s="88"/>
      <c r="BM86" s="88"/>
      <c r="BN86" s="42"/>
      <c r="BO86" s="42"/>
      <c r="BP86" s="42"/>
    </row>
    <row r="87" spans="1:68" s="86" customFormat="1">
      <c r="A87" s="86">
        <v>23</v>
      </c>
      <c r="B87" s="86">
        <f t="shared" si="42"/>
        <v>288.40315031266061</v>
      </c>
      <c r="C87" s="86" t="str">
        <f t="shared" si="0"/>
        <v>1812.09043658881j</v>
      </c>
      <c r="D87" s="86">
        <f t="shared" si="1"/>
        <v>0.9999989759756589</v>
      </c>
      <c r="E87" s="86" t="str">
        <f t="shared" si="2"/>
        <v>-0.00158955301455159j</v>
      </c>
      <c r="F87" s="86" t="str">
        <f t="shared" si="3"/>
        <v>0.999998975975659-0.00158955301455159j</v>
      </c>
      <c r="G87" s="86">
        <f t="shared" si="4"/>
        <v>2.0786681883355711E-6</v>
      </c>
      <c r="H87" s="86">
        <f t="shared" si="5"/>
        <v>-9.1074695603281075E-2</v>
      </c>
      <c r="J87" s="86">
        <f t="shared" si="6"/>
        <v>8.3707025411061284</v>
      </c>
      <c r="K87" s="86" t="str">
        <f t="shared" si="7"/>
        <v>1+0.0777969254936931j</v>
      </c>
      <c r="L87" s="86">
        <f t="shared" si="8"/>
        <v>0.99961648039204287</v>
      </c>
      <c r="M87" s="86" t="str">
        <f t="shared" si="9"/>
        <v>0.00533699909078141j</v>
      </c>
      <c r="N87" s="86" t="str">
        <f t="shared" si="10"/>
        <v>0.999616480392043+0.00533699909078141j</v>
      </c>
      <c r="O87" s="86" t="str">
        <f t="shared" si="11"/>
        <v>1.00077066014405+0.0724836122769874j</v>
      </c>
      <c r="P87" s="86" t="str">
        <f t="shared" si="12"/>
        <v>8.37715350793226+0.60673875747553j</v>
      </c>
      <c r="R87" s="86">
        <f t="shared" si="13"/>
        <v>11.958146487294469</v>
      </c>
      <c r="S87" s="86" t="str">
        <f t="shared" si="14"/>
        <v>1+0.000135906782744161j</v>
      </c>
      <c r="T87" s="86" t="str">
        <f t="shared" si="15"/>
        <v>0.999616480392043+0.00533699909078141j</v>
      </c>
      <c r="U87" s="86" t="str">
        <f t="shared" si="16"/>
        <v>1.00035587707843-0.00520498783857655j</v>
      </c>
      <c r="V87" s="86" t="str">
        <f t="shared" si="17"/>
        <v>11.9624021175298-0.0622420070382846j</v>
      </c>
      <c r="X87" s="86" t="str">
        <f t="shared" si="18"/>
        <v>0.346774129156399+0.024562041355348j</v>
      </c>
      <c r="Y87" s="86">
        <f t="shared" si="19"/>
        <v>-9.1773325523412517</v>
      </c>
      <c r="Z87" s="86">
        <f t="shared" si="20"/>
        <v>-175.94850129766201</v>
      </c>
      <c r="AB87" s="86" t="str">
        <f t="shared" si="21"/>
        <v>5.5632561244158-0.0289463791176392j</v>
      </c>
      <c r="AC87" s="86">
        <f t="shared" si="22"/>
        <v>14.906698667381574</v>
      </c>
      <c r="AD87" s="86">
        <f t="shared" si="23"/>
        <v>179.7018849479368</v>
      </c>
      <c r="AF87" s="86" t="str">
        <f t="shared" si="24"/>
        <v>4.12903579589552-0.0967971720512596j</v>
      </c>
      <c r="AG87" s="86">
        <f t="shared" si="25"/>
        <v>12.319359082684951</v>
      </c>
      <c r="AH87" s="86">
        <f t="shared" si="26"/>
        <v>178.65705844170103</v>
      </c>
      <c r="AJ87" s="86" t="str">
        <f t="shared" si="27"/>
        <v>104991.603686997-938.904876554035j</v>
      </c>
      <c r="AK87" s="86" t="str">
        <f t="shared" si="28"/>
        <v>20000-7.24836174635524E-07j</v>
      </c>
      <c r="AL87" s="86" t="str">
        <f t="shared" si="43"/>
        <v>10000-12263307.4892524j</v>
      </c>
      <c r="AM87" s="86" t="str">
        <f t="shared" si="44"/>
        <v>963.138815489693-3805854.59003184j</v>
      </c>
      <c r="AN87" s="86" t="str">
        <f t="shared" si="45"/>
        <v>10963.1388154897-3805854.59003184j</v>
      </c>
      <c r="AO87" s="86" t="str">
        <f t="shared" si="46"/>
        <v>19999.1449887127-105.094275008027j</v>
      </c>
      <c r="AP87" s="86" t="str">
        <f t="shared" si="47"/>
        <v>0.160001719698928+0.00120189188587171j</v>
      </c>
      <c r="AQ87" s="86" t="str">
        <f t="shared" si="29"/>
        <v>1+0.0554499673596176j</v>
      </c>
      <c r="AR87" s="86">
        <f t="shared" si="30"/>
        <v>9.9998995196444387E-8</v>
      </c>
      <c r="AS87" s="86" t="str">
        <f t="shared" si="31"/>
        <v>0.0000021800716415469j</v>
      </c>
      <c r="AT87" s="86" t="str">
        <f t="shared" si="32"/>
        <v>9.99989951964444E-08+0.0000021800716415469j</v>
      </c>
      <c r="AU87" s="86" t="str">
        <f t="shared" si="33"/>
        <v>6.95666321248212-68.4859790033737j</v>
      </c>
      <c r="AW87" s="86" t="str">
        <f t="shared" si="48"/>
        <v>1.18159444504844-10.9510025568942j</v>
      </c>
      <c r="AX87" s="86">
        <f t="shared" si="34"/>
        <v>20.839346297858064</v>
      </c>
      <c r="AY87" s="86">
        <f t="shared" si="35"/>
        <v>96.158291991537396</v>
      </c>
      <c r="AZ87" s="86" t="str">
        <f t="shared" si="36"/>
        <v>6.25652066126132-60.9574349239044j</v>
      </c>
      <c r="BA87" s="86">
        <f t="shared" si="37"/>
        <v>35.746044965239641</v>
      </c>
      <c r="BB87" s="86">
        <f t="shared" si="38"/>
        <v>95.860176939474201</v>
      </c>
      <c r="BD87" s="86" t="str">
        <f t="shared" si="39"/>
        <v>3.81881968120284-45.3314565591517j</v>
      </c>
      <c r="BE87" s="86">
        <f t="shared" si="40"/>
        <v>33.158705380543012</v>
      </c>
      <c r="BF87" s="86">
        <f t="shared" si="41"/>
        <v>94.815350433238407</v>
      </c>
      <c r="BH87" s="86">
        <f t="shared" si="49"/>
        <v>-32.158705380543012</v>
      </c>
      <c r="BI87" s="162">
        <f t="shared" si="50"/>
        <v>-94.815350433238407</v>
      </c>
      <c r="BJ87" s="88"/>
      <c r="BK87" s="88"/>
      <c r="BL87" s="88"/>
      <c r="BM87" s="88"/>
      <c r="BN87" s="42"/>
      <c r="BO87" s="42"/>
      <c r="BP87" s="42"/>
    </row>
    <row r="88" spans="1:68" s="86" customFormat="1">
      <c r="A88" s="86">
        <v>24</v>
      </c>
      <c r="B88" s="86">
        <f t="shared" si="42"/>
        <v>301.99517204020168</v>
      </c>
      <c r="C88" s="86" t="str">
        <f t="shared" si="0"/>
        <v>1897.49162780217j</v>
      </c>
      <c r="D88" s="86">
        <f t="shared" si="1"/>
        <v>0.99999887717963765</v>
      </c>
      <c r="E88" s="86" t="str">
        <f t="shared" si="2"/>
        <v>-0.00166446634017734j</v>
      </c>
      <c r="F88" s="86" t="str">
        <f t="shared" si="3"/>
        <v>0.999998877179638-0.00166446634017734j</v>
      </c>
      <c r="G88" s="86">
        <f t="shared" si="4"/>
        <v>2.2792147754058754E-6</v>
      </c>
      <c r="H88" s="86">
        <f t="shared" si="5"/>
        <v>-9.5366915443928973E-2</v>
      </c>
      <c r="J88" s="86">
        <f t="shared" si="6"/>
        <v>8.3707025411061284</v>
      </c>
      <c r="K88" s="86" t="str">
        <f t="shared" si="7"/>
        <v>1+0.0814633816350353j</v>
      </c>
      <c r="L88" s="86">
        <f t="shared" si="8"/>
        <v>0.99957947911208167</v>
      </c>
      <c r="M88" s="86" t="str">
        <f t="shared" si="9"/>
        <v>0.00558852410887893j</v>
      </c>
      <c r="N88" s="86" t="str">
        <f t="shared" si="10"/>
        <v>0.999579479112082+0.00558852410887893j</v>
      </c>
      <c r="O88" s="86" t="str">
        <f t="shared" si="11"/>
        <v>1.00084505670672+0.0759020533052282j</v>
      </c>
      <c r="P88" s="86" t="str">
        <f t="shared" si="12"/>
        <v>8.37777625942845+0.635353510477247j</v>
      </c>
      <c r="R88" s="86">
        <f t="shared" si="13"/>
        <v>11.958146487294469</v>
      </c>
      <c r="S88" s="86" t="str">
        <f t="shared" si="14"/>
        <v>1+0.000142311872085163j</v>
      </c>
      <c r="T88" s="86" t="str">
        <f t="shared" si="15"/>
        <v>0.999579479112082+0.00558852410887893j</v>
      </c>
      <c r="U88" s="86" t="str">
        <f t="shared" si="16"/>
        <v>1.00039022369983-0.00545068513830224j</v>
      </c>
      <c r="V88" s="86" t="str">
        <f t="shared" si="17"/>
        <v>11.9628128394599-0.0651800913399371j</v>
      </c>
      <c r="X88" s="86" t="str">
        <f t="shared" si="18"/>
        <v>0.346803723540418+0.0257203985124759j</v>
      </c>
      <c r="Y88" s="86">
        <f t="shared" si="19"/>
        <v>-9.1745028378669957</v>
      </c>
      <c r="Z88" s="86">
        <f t="shared" si="20"/>
        <v>-175.75847322682702</v>
      </c>
      <c r="AB88" s="86" t="str">
        <f t="shared" si="21"/>
        <v>5.56344713549121-0.0303127698579459j</v>
      </c>
      <c r="AC88" s="86">
        <f t="shared" si="22"/>
        <v>14.907008239963346</v>
      </c>
      <c r="AD88" s="86">
        <f t="shared" si="23"/>
        <v>179.68782365508164</v>
      </c>
      <c r="AF88" s="86" t="str">
        <f t="shared" si="24"/>
        <v>4.12891652625311-0.10135860627046j</v>
      </c>
      <c r="AG88" s="86">
        <f t="shared" si="25"/>
        <v>12.319338448169779</v>
      </c>
      <c r="AH88" s="86">
        <f t="shared" si="26"/>
        <v>178.59375839384597</v>
      </c>
      <c r="AJ88" s="86" t="str">
        <f t="shared" si="27"/>
        <v>104990.79369689-983.146515298417j</v>
      </c>
      <c r="AK88" s="86" t="str">
        <f t="shared" si="28"/>
        <v>20000-7.58996651120868E-07j</v>
      </c>
      <c r="AL88" s="86" t="str">
        <f t="shared" si="43"/>
        <v>10000-11711367.7323372j</v>
      </c>
      <c r="AM88" s="86" t="str">
        <f t="shared" si="44"/>
        <v>963.138786101912-3634562.96686085j</v>
      </c>
      <c r="AN88" s="86" t="str">
        <f t="shared" si="45"/>
        <v>10963.1387861019-3634562.96686085j</v>
      </c>
      <c r="AO88" s="86" t="str">
        <f t="shared" si="46"/>
        <v>19999.0625047789-110.046511399236j</v>
      </c>
      <c r="AP88" s="86" t="str">
        <f t="shared" si="47"/>
        <v>0.160001885612006+0.00125853505678617j</v>
      </c>
      <c r="AQ88" s="86" t="str">
        <f t="shared" si="29"/>
        <v>1+0.0580632438107464j</v>
      </c>
      <c r="AR88" s="86">
        <f t="shared" si="30"/>
        <v>9.9998898254809859E-8</v>
      </c>
      <c r="AS88" s="86" t="str">
        <f t="shared" si="31"/>
        <v>2.28281525265996E-06j</v>
      </c>
      <c r="AT88" s="86" t="str">
        <f t="shared" si="32"/>
        <v>9.99988982548099E-08+2.28281525265996E-06j</v>
      </c>
      <c r="AU88" s="86" t="str">
        <f t="shared" si="33"/>
        <v>6.68077858957152-65.415687637252j</v>
      </c>
      <c r="AW88" s="86" t="str">
        <f t="shared" si="48"/>
        <v>1.13746662591303-10.4597266494392j</v>
      </c>
      <c r="AX88" s="86">
        <f t="shared" si="34"/>
        <v>20.441464906368655</v>
      </c>
      <c r="AY88" s="86">
        <f t="shared" si="35"/>
        <v>96.20637033623143</v>
      </c>
      <c r="AZ88" s="86" t="str">
        <f t="shared" si="36"/>
        <v>6.01117215495123-58.226616029896j</v>
      </c>
      <c r="BA88" s="86">
        <f t="shared" si="37"/>
        <v>35.348473146332005</v>
      </c>
      <c r="BB88" s="86">
        <f t="shared" si="38"/>
        <v>95.894193991313074</v>
      </c>
      <c r="BD88" s="86" t="str">
        <f t="shared" si="39"/>
        <v>3.63632143463653-43.3026302548413j</v>
      </c>
      <c r="BE88" s="86">
        <f t="shared" si="40"/>
        <v>32.760803354538439</v>
      </c>
      <c r="BF88" s="86">
        <f t="shared" si="41"/>
        <v>94.800128730077432</v>
      </c>
      <c r="BH88" s="86">
        <f t="shared" si="49"/>
        <v>-31.760803354538439</v>
      </c>
      <c r="BI88" s="162">
        <f t="shared" si="50"/>
        <v>-94.800128730077432</v>
      </c>
      <c r="BJ88" s="88"/>
      <c r="BK88" s="88"/>
      <c r="BL88" s="88"/>
      <c r="BM88" s="88"/>
      <c r="BN88" s="42"/>
      <c r="BO88" s="42"/>
      <c r="BP88" s="42"/>
    </row>
    <row r="89" spans="1:68" s="86" customFormat="1">
      <c r="A89" s="86">
        <v>25</v>
      </c>
      <c r="B89" s="86">
        <f t="shared" si="42"/>
        <v>316.22776601683796</v>
      </c>
      <c r="C89" s="86" t="str">
        <f t="shared" si="0"/>
        <v>1986.91765315922j</v>
      </c>
      <c r="D89" s="86">
        <f t="shared" si="1"/>
        <v>0.99999876885195449</v>
      </c>
      <c r="E89" s="86" t="str">
        <f t="shared" si="2"/>
        <v>-0.00174291022206949j</v>
      </c>
      <c r="F89" s="86" t="str">
        <f t="shared" si="3"/>
        <v>0.999998768851954-0.00174291022206949j</v>
      </c>
      <c r="G89" s="86">
        <f t="shared" si="4"/>
        <v>2.4991098133834775E-6</v>
      </c>
      <c r="H89" s="86">
        <f t="shared" si="5"/>
        <v>-9.9861421621395802E-2</v>
      </c>
      <c r="J89" s="86">
        <f t="shared" si="6"/>
        <v>8.3707025411061284</v>
      </c>
      <c r="K89" s="86" t="str">
        <f t="shared" si="7"/>
        <v>1+0.0853026325308106j</v>
      </c>
      <c r="L89" s="86">
        <f t="shared" si="8"/>
        <v>0.99953890801537471</v>
      </c>
      <c r="M89" s="86" t="str">
        <f t="shared" si="9"/>
        <v>0.00585190313587783j</v>
      </c>
      <c r="N89" s="86" t="str">
        <f t="shared" si="10"/>
        <v>0.999538908015375+0.00585190313587783j</v>
      </c>
      <c r="O89" s="86" t="str">
        <f t="shared" si="11"/>
        <v>1.00092663995423+0.0794819552801808j</v>
      </c>
      <c r="P89" s="86" t="str">
        <f t="shared" si="12"/>
        <v>8.37845916852569+0.665319805035893j</v>
      </c>
      <c r="R89" s="86">
        <f t="shared" si="13"/>
        <v>11.958146487294469</v>
      </c>
      <c r="S89" s="86" t="str">
        <f t="shared" si="14"/>
        <v>1+0.000149018823986941j</v>
      </c>
      <c r="T89" s="86" t="str">
        <f t="shared" si="15"/>
        <v>0.999538908015375+0.00585190313587783j</v>
      </c>
      <c r="U89" s="86" t="str">
        <f t="shared" si="16"/>
        <v>1.00042788649844-0.00570802018458811j</v>
      </c>
      <c r="V89" s="86" t="str">
        <f t="shared" si="17"/>
        <v>11.9632632167227-0.0682573415197382j</v>
      </c>
      <c r="X89" s="86" t="str">
        <f t="shared" si="18"/>
        <v>0.346836176542268+0.0269334635348716j</v>
      </c>
      <c r="Y89" s="86">
        <f t="shared" si="19"/>
        <v>-9.1714017855054113</v>
      </c>
      <c r="Z89" s="86">
        <f t="shared" si="20"/>
        <v>-175.55962394555684</v>
      </c>
      <c r="AB89" s="86" t="str">
        <f t="shared" si="21"/>
        <v>5.56365658874658-0.0317438813304529j</v>
      </c>
      <c r="AC89" s="86">
        <f t="shared" si="22"/>
        <v>14.907347691232664</v>
      </c>
      <c r="AD89" s="86">
        <f t="shared" si="23"/>
        <v>179.67309795978665</v>
      </c>
      <c r="AF89" s="86" t="str">
        <f t="shared" si="24"/>
        <v>4.12878574541214-0.106134943608951j</v>
      </c>
      <c r="AG89" s="86">
        <f t="shared" si="25"/>
        <v>12.319315817115484</v>
      </c>
      <c r="AH89" s="86">
        <f t="shared" si="26"/>
        <v>178.52747374970832</v>
      </c>
      <c r="AJ89" s="86" t="str">
        <f t="shared" si="27"/>
        <v>104989.905574763-1029.47207465873j</v>
      </c>
      <c r="AK89" s="86" t="str">
        <f t="shared" si="28"/>
        <v>20000-7.94767061263688E-07j</v>
      </c>
      <c r="AL89" s="86" t="str">
        <f t="shared" si="43"/>
        <v>10000-11184269.3565527j</v>
      </c>
      <c r="AM89" s="86" t="str">
        <f t="shared" si="44"/>
        <v>963.138753878868-3470980.73903692j</v>
      </c>
      <c r="AN89" s="86" t="str">
        <f t="shared" si="45"/>
        <v>10963.1387538789-3470980.73903692j</v>
      </c>
      <c r="AO89" s="86" t="str">
        <f t="shared" si="46"/>
        <v>19998.9720641601-115.232035182502j</v>
      </c>
      <c r="AP89" s="86" t="str">
        <f t="shared" si="47"/>
        <v>0.160002067532002+0.00131784770127479j</v>
      </c>
      <c r="AQ89" s="86" t="str">
        <f t="shared" si="29"/>
        <v>1+0.0607996801866721j</v>
      </c>
      <c r="AR89" s="86">
        <f t="shared" si="30"/>
        <v>9.9998791960421308E-8</v>
      </c>
      <c r="AS89" s="86" t="str">
        <f t="shared" si="31"/>
        <v>2.39040102098626E-06j</v>
      </c>
      <c r="AT89" s="86" t="str">
        <f t="shared" si="32"/>
        <v>9.99987919604213E-08+2.39040102098626E-06j</v>
      </c>
      <c r="AU89" s="86" t="str">
        <f t="shared" si="33"/>
        <v>6.42907991398477-62.4820264315152j</v>
      </c>
      <c r="AW89" s="86" t="str">
        <f t="shared" si="48"/>
        <v>1.09720755068616-9.99029727717896j</v>
      </c>
      <c r="AX89" s="86">
        <f t="shared" si="34"/>
        <v>20.043639587650969</v>
      </c>
      <c r="AY89" s="86">
        <f t="shared" si="35"/>
        <v>96.267522611987417</v>
      </c>
      <c r="AZ89" s="86" t="str">
        <f t="shared" si="36"/>
        <v>5.78735520737484-55.6174128959976j</v>
      </c>
      <c r="BA89" s="86">
        <f t="shared" si="37"/>
        <v>34.95098727888363</v>
      </c>
      <c r="BB89" s="86">
        <f t="shared" si="38"/>
        <v>95.940620571774062</v>
      </c>
      <c r="BD89" s="86" t="str">
        <f t="shared" si="39"/>
        <v>3.46981525688155-41.3642490519656j</v>
      </c>
      <c r="BE89" s="86">
        <f t="shared" si="40"/>
        <v>32.362955404766453</v>
      </c>
      <c r="BF89" s="86">
        <f t="shared" si="41"/>
        <v>94.794996361695752</v>
      </c>
      <c r="BH89" s="86">
        <f t="shared" si="49"/>
        <v>-31.362955404766453</v>
      </c>
      <c r="BI89" s="162">
        <f t="shared" si="50"/>
        <v>-94.794996361695752</v>
      </c>
      <c r="BJ89" s="88"/>
      <c r="BK89" s="88"/>
      <c r="BL89" s="88"/>
      <c r="BM89" s="88"/>
      <c r="BN89" s="42"/>
      <c r="BO89" s="42"/>
      <c r="BP89" s="42"/>
    </row>
    <row r="90" spans="1:68" s="86" customFormat="1">
      <c r="A90" s="86">
        <v>26</v>
      </c>
      <c r="B90" s="86">
        <f t="shared" si="42"/>
        <v>331.13112148259114</v>
      </c>
      <c r="C90" s="86" t="str">
        <f t="shared" si="0"/>
        <v>2080.55819724932j</v>
      </c>
      <c r="D90" s="86">
        <f t="shared" si="1"/>
        <v>0.99999865007301181</v>
      </c>
      <c r="E90" s="86" t="str">
        <f t="shared" si="2"/>
        <v>-0.0018250510502187j</v>
      </c>
      <c r="F90" s="86" t="str">
        <f t="shared" si="3"/>
        <v>0.999998650073012-0.0018250510502187j</v>
      </c>
      <c r="G90" s="86">
        <f t="shared" si="4"/>
        <v>2.7402200472485678E-6</v>
      </c>
      <c r="H90" s="86">
        <f t="shared" si="5"/>
        <v>-0.10456774763374123</v>
      </c>
      <c r="J90" s="86">
        <f t="shared" si="6"/>
        <v>8.3707025411061284</v>
      </c>
      <c r="K90" s="86" t="str">
        <f t="shared" si="7"/>
        <v>1+0.0893228217469074j</v>
      </c>
      <c r="L90" s="86">
        <f t="shared" si="8"/>
        <v>0.99949442269244204</v>
      </c>
      <c r="M90" s="86" t="str">
        <f t="shared" si="9"/>
        <v>0.00612769483400627j</v>
      </c>
      <c r="N90" s="86" t="str">
        <f t="shared" si="10"/>
        <v>0.999494422692442+0.00612769483400627j</v>
      </c>
      <c r="O90" s="86" t="str">
        <f t="shared" si="11"/>
        <v>1.00101610507479+0.0832309802259716j</v>
      </c>
      <c r="P90" s="86" t="str">
        <f t="shared" si="12"/>
        <v>8.3792080544377+0.696701777676294j</v>
      </c>
      <c r="R90" s="86">
        <f t="shared" si="13"/>
        <v>11.958146487294469</v>
      </c>
      <c r="S90" s="86" t="str">
        <f t="shared" si="14"/>
        <v>1+0.000156041864793699j</v>
      </c>
      <c r="T90" s="86" t="str">
        <f t="shared" si="15"/>
        <v>0.999494422692442+0.00612769483400627j</v>
      </c>
      <c r="U90" s="86" t="str">
        <f t="shared" si="16"/>
        <v>1.00046918591437-0.00597755011100719j</v>
      </c>
      <c r="V90" s="86" t="str">
        <f t="shared" si="17"/>
        <v>11.9637570811883-0.0714804198625673j</v>
      </c>
      <c r="X90" s="86" t="str">
        <f t="shared" si="18"/>
        <v>0.34687176464555+0.0282038319493661j</v>
      </c>
      <c r="Y90" s="86">
        <f t="shared" si="19"/>
        <v>-9.1680035518413412</v>
      </c>
      <c r="Z90" s="86">
        <f t="shared" si="20"/>
        <v>-175.35155746107748</v>
      </c>
      <c r="AB90" s="86" t="str">
        <f t="shared" si="21"/>
        <v>5.56388626623827-0.033242811909282j</v>
      </c>
      <c r="AC90" s="86">
        <f t="shared" si="22"/>
        <v>14.90771990619576</v>
      </c>
      <c r="AD90" s="86">
        <f t="shared" si="23"/>
        <v>179.65767629552221</v>
      </c>
      <c r="AF90" s="86" t="str">
        <f t="shared" si="24"/>
        <v>4.12864234192842-0.111136301635561j</v>
      </c>
      <c r="AG90" s="86">
        <f t="shared" si="25"/>
        <v>12.319290995735342</v>
      </c>
      <c r="AH90" s="86">
        <f t="shared" si="26"/>
        <v>178.45806364868341</v>
      </c>
      <c r="AJ90" s="86" t="str">
        <f t="shared" si="27"/>
        <v>104988.931785484-1077.97960036166j</v>
      </c>
      <c r="AK90" s="86" t="str">
        <f t="shared" si="28"/>
        <v>20000-8.32223278899728E-07j</v>
      </c>
      <c r="AL90" s="86" t="str">
        <f t="shared" si="43"/>
        <v>10000-10680894.3155745j</v>
      </c>
      <c r="AM90" s="86" t="str">
        <f t="shared" si="44"/>
        <v>963.138718547002-3314760.92672296j</v>
      </c>
      <c r="AN90" s="86" t="str">
        <f t="shared" si="45"/>
        <v>10963.138718547-3314760.92672296j</v>
      </c>
      <c r="AO90" s="86" t="str">
        <f t="shared" si="46"/>
        <v>19998.8728994555-120.661825401515j</v>
      </c>
      <c r="AP90" s="86" t="str">
        <f t="shared" si="47"/>
        <v>0.160002267003223+0.00137995562229502j</v>
      </c>
      <c r="AQ90" s="86" t="str">
        <f t="shared" si="29"/>
        <v>1+0.0636650808358292j</v>
      </c>
      <c r="AR90" s="86">
        <f t="shared" si="30"/>
        <v>9.9998675410941879E-8</v>
      </c>
      <c r="AS90" s="86" t="str">
        <f t="shared" si="31"/>
        <v>2.50305715036474E-06j</v>
      </c>
      <c r="AT90" s="86" t="str">
        <f t="shared" si="32"/>
        <v>9.99986754109419E-08+2.50305715036474E-06j</v>
      </c>
      <c r="AU90" s="86" t="str">
        <f t="shared" si="33"/>
        <v>6.19945400474076-59.6790459976063j</v>
      </c>
      <c r="AW90" s="86" t="str">
        <f t="shared" si="48"/>
        <v>1.06047921725227-9.54176243303058j</v>
      </c>
      <c r="AX90" s="86">
        <f t="shared" si="34"/>
        <v>19.645888642083708</v>
      </c>
      <c r="AY90" s="86">
        <f t="shared" si="35"/>
        <v>96.341872678854429</v>
      </c>
      <c r="AZ90" s="86" t="str">
        <f t="shared" si="36"/>
        <v>5.58319073865673-53.1245342679999j</v>
      </c>
      <c r="BA90" s="86">
        <f t="shared" si="37"/>
        <v>34.553608548279463</v>
      </c>
      <c r="BB90" s="86">
        <f t="shared" si="38"/>
        <v>95.999548974376637</v>
      </c>
      <c r="BD90" s="86" t="str">
        <f t="shared" si="39"/>
        <v>3.31790321119068-39.5123821357988j</v>
      </c>
      <c r="BE90" s="86">
        <f t="shared" si="40"/>
        <v>31.965179637819055</v>
      </c>
      <c r="BF90" s="86">
        <f t="shared" si="41"/>
        <v>94.799936327537836</v>
      </c>
      <c r="BH90" s="86">
        <f t="shared" si="49"/>
        <v>-30.965179637819055</v>
      </c>
      <c r="BI90" s="162">
        <f t="shared" si="50"/>
        <v>-94.799936327537836</v>
      </c>
      <c r="BJ90" s="88"/>
      <c r="BK90" s="88"/>
      <c r="BL90" s="88"/>
      <c r="BM90" s="88"/>
      <c r="BN90" s="42"/>
      <c r="BO90" s="42"/>
      <c r="BP90" s="42"/>
    </row>
    <row r="91" spans="1:68" s="86" customFormat="1">
      <c r="A91" s="86">
        <v>27</v>
      </c>
      <c r="B91" s="86">
        <f t="shared" si="42"/>
        <v>346.73685045253171</v>
      </c>
      <c r="C91" s="86" t="str">
        <f t="shared" si="0"/>
        <v>2178.61188422107j</v>
      </c>
      <c r="D91" s="86">
        <f t="shared" si="1"/>
        <v>0.99999851983449106</v>
      </c>
      <c r="E91" s="86" t="str">
        <f t="shared" si="2"/>
        <v>-0.00191106305633427j</v>
      </c>
      <c r="F91" s="86" t="str">
        <f t="shared" si="3"/>
        <v>0.999998519834491-0.00191106305633427j</v>
      </c>
      <c r="G91" s="86">
        <f t="shared" si="4"/>
        <v>3.0045922769322927E-6</v>
      </c>
      <c r="H91" s="86">
        <f t="shared" si="5"/>
        <v>-0.10949587628438451</v>
      </c>
      <c r="J91" s="86">
        <f t="shared" si="6"/>
        <v>8.3707025411061284</v>
      </c>
      <c r="K91" s="86" t="str">
        <f t="shared" si="7"/>
        <v>1+0.0935324766436481j</v>
      </c>
      <c r="L91" s="86">
        <f t="shared" si="8"/>
        <v>0.99944564550579795</v>
      </c>
      <c r="M91" s="86" t="str">
        <f t="shared" si="9"/>
        <v>0.00641648419443197j</v>
      </c>
      <c r="N91" s="86" t="str">
        <f t="shared" si="10"/>
        <v>0.999445645505798+0.00641648419443197j</v>
      </c>
      <c r="O91" s="86" t="str">
        <f t="shared" si="11"/>
        <v>1.00111421469774+0.0871571590710518j</v>
      </c>
      <c r="P91" s="86" t="str">
        <f t="shared" si="12"/>
        <v>8.38002930090784+0.729566652911644j</v>
      </c>
      <c r="R91" s="86">
        <f t="shared" si="13"/>
        <v>11.958146487294469</v>
      </c>
      <c r="S91" s="86" t="str">
        <f t="shared" si="14"/>
        <v>1+0.00016339589131658j</v>
      </c>
      <c r="T91" s="86" t="str">
        <f t="shared" si="15"/>
        <v>0.999445645505798+0.00641648419443197j</v>
      </c>
      <c r="U91" s="86" t="str">
        <f t="shared" si="16"/>
        <v>1.0005144734047-0.00625985959488458j</v>
      </c>
      <c r="V91" s="86" t="str">
        <f t="shared" si="17"/>
        <v>11.9642986356317-0.0748563180255256j</v>
      </c>
      <c r="X91" s="86" t="str">
        <f t="shared" si="18"/>
        <v>0.346910791148118+0.0295342241614325j</v>
      </c>
      <c r="Y91" s="86">
        <f t="shared" si="19"/>
        <v>-9.1642798670340504</v>
      </c>
      <c r="Z91" s="86">
        <f t="shared" si="20"/>
        <v>-175.13386199256919</v>
      </c>
      <c r="AB91" s="86" t="str">
        <f t="shared" si="21"/>
        <v>5.56413812251633-0.0348128131469899j</v>
      </c>
      <c r="AC91" s="86">
        <f t="shared" si="22"/>
        <v>14.908128048677099</v>
      </c>
      <c r="AD91" s="86">
        <f t="shared" si="23"/>
        <v>179.64152557034654</v>
      </c>
      <c r="AF91" s="86" t="str">
        <f t="shared" si="24"/>
        <v>4.12848509695273-0.116373273180115j</v>
      </c>
      <c r="AG91" s="86">
        <f t="shared" si="25"/>
        <v>12.319263771310421</v>
      </c>
      <c r="AH91" s="86">
        <f t="shared" si="26"/>
        <v>178.38538056187548</v>
      </c>
      <c r="AJ91" s="86" t="str">
        <f t="shared" si="27"/>
        <v>104987.864067535-1128.77173423941j</v>
      </c>
      <c r="AK91" s="86" t="str">
        <f t="shared" si="28"/>
        <v>20000-8.71444753688428E-07j</v>
      </c>
      <c r="AL91" s="86" t="str">
        <f t="shared" si="43"/>
        <v>10000-10200174.8834522j</v>
      </c>
      <c r="AM91" s="86" t="str">
        <f t="shared" si="44"/>
        <v>963.138679806378-3165572.16675235j</v>
      </c>
      <c r="AN91" s="86" t="str">
        <f t="shared" si="45"/>
        <v>10963.1386798064-3165572.16675235j</v>
      </c>
      <c r="AO91" s="86" t="str">
        <f t="shared" si="46"/>
        <v>19998.7641692768-126.347376237761j</v>
      </c>
      <c r="AP91" s="86" t="str">
        <f t="shared" si="47"/>
        <v>0.160002485718956+0.00144499055090663j</v>
      </c>
      <c r="AQ91" s="86" t="str">
        <f t="shared" si="29"/>
        <v>1+0.0666655236571647j</v>
      </c>
      <c r="AR91" s="86">
        <f t="shared" si="30"/>
        <v>9.9998547616978923E-8</v>
      </c>
      <c r="AS91" s="86" t="str">
        <f t="shared" si="31"/>
        <v>2.62102259954984E-06j</v>
      </c>
      <c r="AT91" s="86" t="str">
        <f t="shared" si="32"/>
        <v>9.99985476169789E-08+2.62102259954984E-06j</v>
      </c>
      <c r="AU91" s="86" t="str">
        <f t="shared" si="33"/>
        <v>5.98997111679344-57.0010390653298j</v>
      </c>
      <c r="AW91" s="86" t="str">
        <f t="shared" si="48"/>
        <v>1.02697296577901-9.11320881993344j</v>
      </c>
      <c r="AX91" s="86">
        <f t="shared" si="34"/>
        <v>19.248230981716969</v>
      </c>
      <c r="AY91" s="86">
        <f t="shared" si="35"/>
        <v>96.429570565977613</v>
      </c>
      <c r="AZ91" s="86" t="str">
        <f t="shared" si="36"/>
        <v>5.3969629938668-50.7429044314084j</v>
      </c>
      <c r="BA91" s="86">
        <f t="shared" si="37"/>
        <v>34.156359030394071</v>
      </c>
      <c r="BB91" s="86">
        <f t="shared" si="38"/>
        <v>96.07109613632413</v>
      </c>
      <c r="BD91" s="86" t="str">
        <f t="shared" si="39"/>
        <v>3.17930864464244-37.7432590040086j</v>
      </c>
      <c r="BE91" s="86">
        <f t="shared" si="40"/>
        <v>31.567494753027393</v>
      </c>
      <c r="BF91" s="86">
        <f t="shared" si="41"/>
        <v>94.814951127853092</v>
      </c>
      <c r="BH91" s="86">
        <f t="shared" si="49"/>
        <v>-30.567494753027393</v>
      </c>
      <c r="BI91" s="162">
        <f t="shared" si="50"/>
        <v>-94.814951127853092</v>
      </c>
      <c r="BJ91" s="88"/>
      <c r="BK91" s="88"/>
      <c r="BL91" s="88"/>
      <c r="BM91" s="88"/>
      <c r="BN91" s="42"/>
      <c r="BO91" s="42"/>
      <c r="BP91" s="42"/>
    </row>
    <row r="92" spans="1:68" s="86" customFormat="1">
      <c r="A92" s="86">
        <v>28</v>
      </c>
      <c r="B92" s="86">
        <f t="shared" si="42"/>
        <v>363.0780547701014</v>
      </c>
      <c r="C92" s="86" t="str">
        <f t="shared" si="0"/>
        <v>2281.28669909085j</v>
      </c>
      <c r="D92" s="86">
        <f t="shared" si="1"/>
        <v>0.99999837703079275</v>
      </c>
      <c r="E92" s="86" t="str">
        <f t="shared" si="2"/>
        <v>-0.00200112868341303j</v>
      </c>
      <c r="F92" s="86" t="str">
        <f t="shared" si="3"/>
        <v>0.999998377030793-0.00200112868341303j</v>
      </c>
      <c r="G92" s="86">
        <f t="shared" si="4"/>
        <v>3.2944708192742808E-6</v>
      </c>
      <c r="H92" s="86">
        <f t="shared" si="5"/>
        <v>-0.11465626085802286</v>
      </c>
      <c r="J92" s="86">
        <f t="shared" si="6"/>
        <v>8.3707025411061284</v>
      </c>
      <c r="K92" s="86" t="str">
        <f t="shared" si="7"/>
        <v>1+0.0979405264634682j</v>
      </c>
      <c r="L92" s="86">
        <f t="shared" si="8"/>
        <v>0.99939216238417339</v>
      </c>
      <c r="M92" s="86" t="str">
        <f t="shared" si="9"/>
        <v>0.00671888377810711j</v>
      </c>
      <c r="N92" s="86" t="str">
        <f t="shared" si="10"/>
        <v>0.999392162384173+0.00671888377810711j</v>
      </c>
      <c r="O92" s="86" t="str">
        <f t="shared" si="11"/>
        <v>1.0012218054753+0.0912689101931441j</v>
      </c>
      <c r="P92" s="86" t="str">
        <f t="shared" si="12"/>
        <v>8.38092991130296+0.763984898477738j</v>
      </c>
      <c r="R92" s="86">
        <f t="shared" si="13"/>
        <v>11.958146487294469</v>
      </c>
      <c r="S92" s="86" t="str">
        <f t="shared" si="14"/>
        <v>1+0.000171096502431814j</v>
      </c>
      <c r="T92" s="86" t="str">
        <f t="shared" si="15"/>
        <v>0.999392162384173+0.00671888377810711j</v>
      </c>
      <c r="U92" s="86" t="str">
        <f t="shared" si="16"/>
        <v>1.00056413445646-0.00655556234691083j</v>
      </c>
      <c r="V92" s="86" t="str">
        <f t="shared" si="17"/>
        <v>11.9648924897633-0.0783923748509516j</v>
      </c>
      <c r="X92" s="86" t="str">
        <f t="shared" si="18"/>
        <v>0.34695358877737+0.03092749171997j</v>
      </c>
      <c r="Y92" s="86">
        <f t="shared" si="19"/>
        <v>-9.1601998139960745</v>
      </c>
      <c r="Z92" s="86">
        <f t="shared" si="20"/>
        <v>-174.90610964027292</v>
      </c>
      <c r="AB92" s="86" t="str">
        <f t="shared" si="21"/>
        <v>5.56441430138092-0.0364572980587207j</v>
      </c>
      <c r="AC92" s="86">
        <f t="shared" si="22"/>
        <v>14.908575588316479</v>
      </c>
      <c r="AD92" s="86">
        <f t="shared" si="23"/>
        <v>179.62461108940863</v>
      </c>
      <c r="AF92" s="86" t="str">
        <f t="shared" si="24"/>
        <v>4.12831267383358-0.121856948497492j</v>
      </c>
      <c r="AG92" s="86">
        <f t="shared" si="25"/>
        <v>12.319233910315965</v>
      </c>
      <c r="AH92" s="86">
        <f t="shared" si="26"/>
        <v>178.3092699734334</v>
      </c>
      <c r="AJ92" s="86" t="str">
        <f t="shared" si="27"/>
        <v>104986.693363044-1181.95592718841j</v>
      </c>
      <c r="AK92" s="86" t="str">
        <f t="shared" si="28"/>
        <v>20000-9.1251467963634E-07j</v>
      </c>
      <c r="AL92" s="86" t="str">
        <f t="shared" si="43"/>
        <v>10000-9741091.38981891j</v>
      </c>
      <c r="AM92" s="86" t="str">
        <f t="shared" si="44"/>
        <v>963.138637328134-3023098.00976304j</v>
      </c>
      <c r="AN92" s="86" t="str">
        <f t="shared" si="45"/>
        <v>10963.1386373281-3023098.00976304j</v>
      </c>
      <c r="AO92" s="86" t="str">
        <f t="shared" si="46"/>
        <v>19998.6449511198-132.300720949339j</v>
      </c>
      <c r="AP92" s="86" t="str">
        <f t="shared" si="47"/>
        <v>0.16000272553586+0.00151309042553499j</v>
      </c>
      <c r="AQ92" s="86" t="str">
        <f t="shared" si="29"/>
        <v>1+0.06980737299218j</v>
      </c>
      <c r="AR92" s="86">
        <f t="shared" si="30"/>
        <v>9.9998407493684935E-8</v>
      </c>
      <c r="AS92" s="86" t="str">
        <f t="shared" si="31"/>
        <v>2.74454758907523E-06j</v>
      </c>
      <c r="AT92" s="86" t="str">
        <f t="shared" si="32"/>
        <v>9.99984074936849E-08+2.74454758907523E-06j</v>
      </c>
      <c r="AU92" s="86" t="str">
        <f t="shared" si="33"/>
        <v>5.79886921925481-54.4425328631875j</v>
      </c>
      <c r="AW92" s="86" t="str">
        <f t="shared" si="48"/>
        <v>0.99640696404637-8.70376063121544j</v>
      </c>
      <c r="AX92" s="86">
        <f t="shared" si="34"/>
        <v>18.850686284756094</v>
      </c>
      <c r="AY92" s="86">
        <f t="shared" si="35"/>
        <v>96.530792646758968</v>
      </c>
      <c r="AZ92" s="86" t="str">
        <f t="shared" si="36"/>
        <v>5.22710556517119-48.4676564378074j</v>
      </c>
      <c r="BA92" s="86">
        <f t="shared" si="37"/>
        <v>33.75926187307256</v>
      </c>
      <c r="BB92" s="86">
        <f t="shared" si="38"/>
        <v>96.155403736167614</v>
      </c>
      <c r="BD92" s="86" t="str">
        <f t="shared" si="39"/>
        <v>3.05286578699616-36.0532644359608j</v>
      </c>
      <c r="BE92" s="86">
        <f t="shared" si="40"/>
        <v>31.169920195072052</v>
      </c>
      <c r="BF92" s="86">
        <f t="shared" si="41"/>
        <v>94.84006262019237</v>
      </c>
      <c r="BH92" s="86">
        <f t="shared" si="49"/>
        <v>-30.169920195072052</v>
      </c>
      <c r="BI92" s="162">
        <f t="shared" si="50"/>
        <v>-94.84006262019237</v>
      </c>
      <c r="BJ92" s="88"/>
      <c r="BK92" s="88"/>
      <c r="BL92" s="88"/>
      <c r="BM92" s="88"/>
      <c r="BN92" s="42"/>
      <c r="BO92" s="42"/>
      <c r="BP92" s="42"/>
    </row>
    <row r="93" spans="1:68" s="86" customFormat="1">
      <c r="A93" s="86">
        <v>29</v>
      </c>
      <c r="B93" s="86">
        <f t="shared" si="42"/>
        <v>380.18939632056117</v>
      </c>
      <c r="C93" s="86" t="str">
        <f t="shared" si="0"/>
        <v>2388.80042890683j</v>
      </c>
      <c r="D93" s="86">
        <f t="shared" si="1"/>
        <v>0.99999822044965125</v>
      </c>
      <c r="E93" s="86" t="str">
        <f t="shared" si="2"/>
        <v>-0.00209543897272529j</v>
      </c>
      <c r="F93" s="86" t="str">
        <f t="shared" si="3"/>
        <v>0.999998220449651-0.00209543897272529j</v>
      </c>
      <c r="G93" s="86">
        <f t="shared" si="4"/>
        <v>3.612316493600596E-6</v>
      </c>
      <c r="H93" s="86">
        <f t="shared" si="5"/>
        <v>-0.1200598472946508</v>
      </c>
      <c r="J93" s="86">
        <f t="shared" si="6"/>
        <v>8.3707025411061284</v>
      </c>
      <c r="K93" s="86" t="str">
        <f t="shared" si="7"/>
        <v>1+0.102556321271032j</v>
      </c>
      <c r="L93" s="86">
        <f t="shared" si="8"/>
        <v>0.99933351930745051</v>
      </c>
      <c r="M93" s="86" t="str">
        <f t="shared" si="9"/>
        <v>0.00703553501509204j</v>
      </c>
      <c r="N93" s="86" t="str">
        <f t="shared" si="10"/>
        <v>0.999333519307451+0.00703553501509204j</v>
      </c>
      <c r="O93" s="86" t="str">
        <f t="shared" si="11"/>
        <v>1.0013397953145+0.0955750590106116j</v>
      </c>
      <c r="P93" s="86" t="str">
        <f t="shared" si="12"/>
        <v>8.38191756914978+0.800030389326495j</v>
      </c>
      <c r="R93" s="86">
        <f t="shared" si="13"/>
        <v>11.958146487294469</v>
      </c>
      <c r="S93" s="86" t="str">
        <f t="shared" si="14"/>
        <v>1+0.000179160032168012j</v>
      </c>
      <c r="T93" s="86" t="str">
        <f t="shared" si="15"/>
        <v>0.999333519307451+0.00703553501509204j</v>
      </c>
      <c r="U93" s="86" t="str">
        <f t="shared" si="16"/>
        <v>1.00061859189457-0.0068653026995561j</v>
      </c>
      <c r="V93" s="86" t="str">
        <f t="shared" si="17"/>
        <v>11.9655436997856-0.08209629536091j</v>
      </c>
      <c r="X93" s="86" t="str">
        <f t="shared" si="18"/>
        <v>0.347000522563592+0.0323866239337764j</v>
      </c>
      <c r="Y93" s="86">
        <f t="shared" si="19"/>
        <v>-9.1557295888730597</v>
      </c>
      <c r="Z93" s="86">
        <f t="shared" si="20"/>
        <v>-174.66785609699727</v>
      </c>
      <c r="AB93" s="86" t="str">
        <f t="shared" si="21"/>
        <v>5.56471715427863-0.0381798499558166j</v>
      </c>
      <c r="AC93" s="86">
        <f t="shared" si="22"/>
        <v>14.909066330190582</v>
      </c>
      <c r="AD93" s="86">
        <f t="shared" si="23"/>
        <v>179.60689647296411</v>
      </c>
      <c r="AF93" s="86" t="str">
        <f t="shared" si="24"/>
        <v>4.12812360670965-0.127598938440911j</v>
      </c>
      <c r="AG93" s="86">
        <f t="shared" si="25"/>
        <v>12.319201156357138</v>
      </c>
      <c r="AH93" s="86">
        <f t="shared" si="26"/>
        <v>178.22957004621878</v>
      </c>
      <c r="AJ93" s="86" t="str">
        <f t="shared" si="27"/>
        <v>104985.409741104-1237.64466162434j</v>
      </c>
      <c r="AK93" s="86" t="str">
        <f t="shared" si="28"/>
        <v>20000-9.55520171562732E-07j</v>
      </c>
      <c r="AL93" s="86" t="str">
        <f t="shared" si="43"/>
        <v>10000-9302670.05703431j</v>
      </c>
      <c r="AM93" s="86" t="str">
        <f t="shared" si="44"/>
        <v>963.138590751671-2887036.24896626j</v>
      </c>
      <c r="AN93" s="86" t="str">
        <f t="shared" si="45"/>
        <v>10963.1385907517-2887036.24896626j</v>
      </c>
      <c r="AO93" s="86" t="str">
        <f t="shared" si="46"/>
        <v>19998.5142335506-138.534456887824j</v>
      </c>
      <c r="AP93" s="86" t="str">
        <f t="shared" si="47"/>
        <v>0.160002988489707+0.00158439968437746j</v>
      </c>
      <c r="AQ93" s="86" t="str">
        <f t="shared" si="29"/>
        <v>1+0.073097293124549j</v>
      </c>
      <c r="AR93" s="86">
        <f t="shared" si="30"/>
        <v>9.9998253851548319E-8</v>
      </c>
      <c r="AS93" s="86" t="str">
        <f t="shared" si="31"/>
        <v>2.87389413200494E-06j</v>
      </c>
      <c r="AT93" s="86" t="str">
        <f t="shared" si="32"/>
        <v>9.99982538515483E-08+2.87389413200494E-06j</v>
      </c>
      <c r="AU93" s="86" t="str">
        <f t="shared" si="33"/>
        <v>5.62453958706513-51.998281425322j</v>
      </c>
      <c r="AW93" s="86" t="str">
        <f t="shared" si="48"/>
        <v>0.968523902875646-8.31257831917877j</v>
      </c>
      <c r="AX93" s="86">
        <f t="shared" si="34"/>
        <v>18.453275155692697</v>
      </c>
      <c r="AY93" s="86">
        <f t="shared" si="35"/>
        <v>96.645741833459581</v>
      </c>
      <c r="AZ93" s="86" t="str">
        <f t="shared" si="36"/>
        <v>5.07218858368878-46.2941252663091j</v>
      </c>
      <c r="BA93" s="86">
        <f t="shared" si="37"/>
        <v>33.362341485883277</v>
      </c>
      <c r="BB93" s="86">
        <f t="shared" si="38"/>
        <v>96.252638306423719</v>
      </c>
      <c r="BD93" s="86" t="str">
        <f t="shared" si="39"/>
        <v>2.93751021788938-34.4389334138863j</v>
      </c>
      <c r="BE93" s="86">
        <f t="shared" si="40"/>
        <v>30.772476312049839</v>
      </c>
      <c r="BF93" s="86">
        <f t="shared" si="41"/>
        <v>94.875311879678378</v>
      </c>
      <c r="BH93" s="86">
        <f t="shared" si="49"/>
        <v>-29.772476312049839</v>
      </c>
      <c r="BI93" s="162">
        <f t="shared" si="50"/>
        <v>-94.875311879678378</v>
      </c>
      <c r="BJ93" s="88"/>
      <c r="BK93" s="88"/>
      <c r="BL93" s="88"/>
      <c r="BM93" s="88"/>
      <c r="BN93" s="42"/>
      <c r="BO93" s="42"/>
      <c r="BP93" s="42"/>
    </row>
    <row r="94" spans="1:68" s="86" customFormat="1">
      <c r="A94" s="86">
        <v>30</v>
      </c>
      <c r="B94" s="86">
        <f t="shared" si="42"/>
        <v>398.10717055349727</v>
      </c>
      <c r="C94" s="86" t="str">
        <f t="shared" si="0"/>
        <v>2501.38112470457j</v>
      </c>
      <c r="D94" s="86">
        <f t="shared" si="1"/>
        <v>0.99999804876184373</v>
      </c>
      <c r="E94" s="86" t="str">
        <f t="shared" si="2"/>
        <v>-0.0021941939690391j</v>
      </c>
      <c r="F94" s="86" t="str">
        <f t="shared" si="3"/>
        <v>0.999998048761844-0.0021941939690391j</v>
      </c>
      <c r="G94" s="86">
        <f t="shared" si="4"/>
        <v>3.9608275764378427E-6</v>
      </c>
      <c r="H94" s="86">
        <f t="shared" si="5"/>
        <v>-0.12571809740875733</v>
      </c>
      <c r="J94" s="86">
        <f t="shared" si="6"/>
        <v>8.3707025411061284</v>
      </c>
      <c r="K94" s="86" t="str">
        <f t="shared" si="7"/>
        <v>1+0.107389651785977j</v>
      </c>
      <c r="L94" s="86">
        <f t="shared" si="8"/>
        <v>0.99926921845246908</v>
      </c>
      <c r="M94" s="86" t="str">
        <f t="shared" si="9"/>
        <v>0.00736710956511457j</v>
      </c>
      <c r="N94" s="86" t="str">
        <f t="shared" si="10"/>
        <v>0.999269218452469+0.00736710956511457j</v>
      </c>
      <c r="O94" s="86" t="str">
        <f t="shared" si="11"/>
        <v>1.00146919132526+0.100084858695319j</v>
      </c>
      <c r="P94" s="86" t="str">
        <f t="shared" si="12"/>
        <v>8.38300070466585+0.837780581007154j</v>
      </c>
      <c r="R94" s="86">
        <f t="shared" si="13"/>
        <v>11.958146487294469</v>
      </c>
      <c r="S94" s="86" t="str">
        <f t="shared" si="14"/>
        <v>1+0.000187603584352843j</v>
      </c>
      <c r="T94" s="86" t="str">
        <f t="shared" si="15"/>
        <v>0.999269218452469+0.00736710956511457j</v>
      </c>
      <c r="U94" s="86" t="str">
        <f t="shared" si="16"/>
        <v>1.00067830951381-0.00718975730323744j</v>
      </c>
      <c r="V94" s="86" t="str">
        <f t="shared" si="17"/>
        <v>11.9662578118243-0.0859761710402085j</v>
      </c>
      <c r="X94" s="86" t="str">
        <f t="shared" si="18"/>
        <v>0.347051992997441+0.033914754864706j</v>
      </c>
      <c r="Y94" s="86">
        <f t="shared" si="19"/>
        <v>-9.1508322415221812</v>
      </c>
      <c r="Z94" s="86">
        <f t="shared" si="20"/>
        <v>-174.41864041180924</v>
      </c>
      <c r="AB94" s="86" t="str">
        <f t="shared" si="21"/>
        <v>5.56504926050059-0.0399842318786746j</v>
      </c>
      <c r="AC94" s="86">
        <f t="shared" si="22"/>
        <v>14.909604447314464</v>
      </c>
      <c r="AD94" s="86">
        <f t="shared" si="23"/>
        <v>179.58834356956706</v>
      </c>
      <c r="AF94" s="86" t="str">
        <f t="shared" si="24"/>
        <v>4.12791628799258-0.133611398686607j</v>
      </c>
      <c r="AG94" s="86">
        <f t="shared" si="25"/>
        <v>12.319165227892956</v>
      </c>
      <c r="AH94" s="86">
        <f t="shared" si="26"/>
        <v>178.14611127097254</v>
      </c>
      <c r="AJ94" s="86" t="str">
        <f t="shared" si="27"/>
        <v>104984.002313711-1295.95568380137j</v>
      </c>
      <c r="AK94" s="86" t="str">
        <f t="shared" si="28"/>
        <v>20000-1.00055244988183E-06j</v>
      </c>
      <c r="AL94" s="86" t="str">
        <f t="shared" si="43"/>
        <v>10000-8883980.93467134j</v>
      </c>
      <c r="AM94" s="86" t="str">
        <f t="shared" si="44"/>
        <v>963.138539681609-2757098.27912521j</v>
      </c>
      <c r="AN94" s="86" t="str">
        <f t="shared" si="45"/>
        <v>10963.1385396816-2757098.27912521j</v>
      </c>
      <c r="AO94" s="86" t="str">
        <f t="shared" si="46"/>
        <v>19998.3709076405-145.061771636575j</v>
      </c>
      <c r="AP94" s="86" t="str">
        <f t="shared" si="47"/>
        <v>0.160003276812679+0.0016590695715705j</v>
      </c>
      <c r="AQ94" s="86" t="str">
        <f t="shared" si="29"/>
        <v>1+0.0765422624159598j</v>
      </c>
      <c r="AR94" s="86">
        <f t="shared" si="30"/>
        <v>9.99980853862955E-8</v>
      </c>
      <c r="AS94" s="86" t="str">
        <f t="shared" si="31"/>
        <v>3.00933658969833E-06j</v>
      </c>
      <c r="AT94" s="86" t="str">
        <f t="shared" si="32"/>
        <v>9.99980853862955E-08+3.00933658969833E-06j</v>
      </c>
      <c r="AU94" s="86" t="str">
        <f t="shared" si="33"/>
        <v>5.46551360217318-49.6632578807383j</v>
      </c>
      <c r="AW94" s="86" t="str">
        <f t="shared" si="48"/>
        <v>0.943088885034529-7.93885736081149j</v>
      </c>
      <c r="AX94" s="86">
        <f t="shared" si="34"/>
        <v>18.056019292215034</v>
      </c>
      <c r="AY94" s="86">
        <f t="shared" si="35"/>
        <v>96.774647788480038</v>
      </c>
      <c r="AZ94" s="86" t="str">
        <f t="shared" si="36"/>
        <v>4.93090698868132-44.2178409696651j</v>
      </c>
      <c r="BA94" s="86">
        <f t="shared" si="37"/>
        <v>32.965623739529505</v>
      </c>
      <c r="BB94" s="86">
        <f t="shared" si="38"/>
        <v>96.362991358047097</v>
      </c>
      <c r="BD94" s="86" t="str">
        <f t="shared" si="39"/>
        <v>2.8322701336073-32.8969460327588j</v>
      </c>
      <c r="BE94" s="86">
        <f t="shared" si="40"/>
        <v>30.375184520107993</v>
      </c>
      <c r="BF94" s="86">
        <f t="shared" si="41"/>
        <v>94.920759059452578</v>
      </c>
      <c r="BH94" s="86">
        <f t="shared" si="49"/>
        <v>-29.375184520107993</v>
      </c>
      <c r="BI94" s="162">
        <f t="shared" si="50"/>
        <v>-94.920759059452578</v>
      </c>
      <c r="BJ94" s="88"/>
      <c r="BK94" s="88"/>
      <c r="BL94" s="88"/>
      <c r="BM94" s="88"/>
      <c r="BN94" s="42"/>
      <c r="BO94" s="42"/>
      <c r="BP94" s="42"/>
    </row>
    <row r="95" spans="1:68" s="86" customFormat="1">
      <c r="A95" s="86">
        <v>31</v>
      </c>
      <c r="B95" s="86">
        <f t="shared" si="42"/>
        <v>416.86938347033549</v>
      </c>
      <c r="C95" s="86" t="str">
        <f t="shared" si="0"/>
        <v>2619.26758523382j</v>
      </c>
      <c r="D95" s="86">
        <f t="shared" si="1"/>
        <v>0.99999786050990613</v>
      </c>
      <c r="E95" s="86" t="str">
        <f t="shared" si="2"/>
        <v>-0.00229760314494195j</v>
      </c>
      <c r="F95" s="86" t="str">
        <f t="shared" si="3"/>
        <v>0.999997860509906-0.00229760314494195j</v>
      </c>
      <c r="G95" s="86">
        <f t="shared" si="4"/>
        <v>4.342962628926655E-6</v>
      </c>
      <c r="H95" s="86">
        <f t="shared" si="5"/>
        <v>-0.13164301320295779</v>
      </c>
      <c r="J95" s="86">
        <f t="shared" si="6"/>
        <v>8.3707025411061284</v>
      </c>
      <c r="K95" s="86" t="str">
        <f t="shared" si="7"/>
        <v>1+0.112450770150342j</v>
      </c>
      <c r="L95" s="86">
        <f t="shared" si="8"/>
        <v>0.99919871396698856</v>
      </c>
      <c r="M95" s="86" t="str">
        <f t="shared" si="9"/>
        <v>0.00771431074225031j</v>
      </c>
      <c r="N95" s="86" t="str">
        <f t="shared" si="10"/>
        <v>0.999198713966989+0.00771431074225031j</v>
      </c>
      <c r="O95" s="86" t="str">
        <f t="shared" si="11"/>
        <v>1.00161109855732+0.104808012089419j</v>
      </c>
      <c r="P95" s="86" t="str">
        <f t="shared" si="12"/>
        <v>8.38418856789386+0.877316693125181j</v>
      </c>
      <c r="R95" s="86">
        <f t="shared" si="13"/>
        <v>11.958146487294469</v>
      </c>
      <c r="S95" s="86" t="str">
        <f t="shared" si="14"/>
        <v>1+0.000196445068892536j</v>
      </c>
      <c r="T95" s="86" t="str">
        <f t="shared" si="15"/>
        <v>0.999198713966989+0.00771431074225031j</v>
      </c>
      <c r="U95" s="86" t="str">
        <f t="shared" si="16"/>
        <v>1.00074379606728-0.00752963694026349j</v>
      </c>
      <c r="V95" s="86" t="str">
        <f t="shared" si="17"/>
        <v>11.9670409096237-0.0900405015278145j</v>
      </c>
      <c r="X95" s="86" t="str">
        <f t="shared" si="18"/>
        <v>0.347108439500365+0.0355151707249463j</v>
      </c>
      <c r="Y95" s="86">
        <f t="shared" si="19"/>
        <v>-9.1454673946558032</v>
      </c>
      <c r="Z95" s="86">
        <f t="shared" si="20"/>
        <v>-174.15798481710655</v>
      </c>
      <c r="AB95" s="86" t="str">
        <f t="shared" si="21"/>
        <v>5.56541344936381-0.0418743966845951j</v>
      </c>
      <c r="AC95" s="86">
        <f t="shared" si="22"/>
        <v>14.910194516308762</v>
      </c>
      <c r="AD95" s="86">
        <f t="shared" si="23"/>
        <v>179.56891236406733</v>
      </c>
      <c r="AF95" s="86" t="str">
        <f t="shared" si="24"/>
        <v>4.12768895463258-0.139907055053229j</v>
      </c>
      <c r="AG95" s="86">
        <f t="shared" si="25"/>
        <v>12.319125815728174</v>
      </c>
      <c r="AH95" s="86">
        <f t="shared" si="26"/>
        <v>178.05871609809225</v>
      </c>
      <c r="AJ95" s="86" t="str">
        <f t="shared" si="27"/>
        <v>104982.459143634-1357.01224636882j</v>
      </c>
      <c r="AK95" s="86" t="str">
        <f t="shared" si="28"/>
        <v>20000-1.04770703409353E-06j</v>
      </c>
      <c r="AL95" s="86" t="str">
        <f t="shared" si="43"/>
        <v>10000-8484135.92696694j</v>
      </c>
      <c r="AM95" s="86" t="str">
        <f t="shared" si="44"/>
        <v>963.138483684393-2633008.4843848j</v>
      </c>
      <c r="AN95" s="86" t="str">
        <f t="shared" si="45"/>
        <v>10963.1384836844-2633008.4843848j</v>
      </c>
      <c r="AO95" s="86" t="str">
        <f t="shared" si="46"/>
        <v>19998.213757577-151.896470314792j</v>
      </c>
      <c r="AP95" s="86" t="str">
        <f t="shared" si="47"/>
        <v>0.160003592952303+0.00173725845776237j</v>
      </c>
      <c r="AQ95" s="86" t="str">
        <f t="shared" si="29"/>
        <v>1+0.0801495881081549j</v>
      </c>
      <c r="AR95" s="86">
        <f t="shared" si="30"/>
        <v>9.9997900667818975E-8</v>
      </c>
      <c r="AS95" s="86" t="str">
        <f t="shared" si="31"/>
        <v>3.15116225376725E-06j</v>
      </c>
      <c r="AT95" s="86" t="str">
        <f t="shared" si="32"/>
        <v>9.9997900667819E-08+3.15116225376725E-06j</v>
      </c>
      <c r="AU95" s="86" t="str">
        <f t="shared" si="33"/>
        <v>5.32045066751116-47.4326467715052j</v>
      </c>
      <c r="AW95" s="86" t="str">
        <f t="shared" si="48"/>
        <v>0.919887492148642-7.58182702809025j</v>
      </c>
      <c r="AX95" s="86">
        <f t="shared" si="34"/>
        <v>17.658941660049774</v>
      </c>
      <c r="AY95" s="86">
        <f t="shared" si="35"/>
        <v>96.917767148906293</v>
      </c>
      <c r="AZ95" s="86" t="str">
        <f t="shared" si="36"/>
        <v>4.80206978813736-42.2345218466349j</v>
      </c>
      <c r="BA95" s="86">
        <f t="shared" si="37"/>
        <v>32.569136176358519</v>
      </c>
      <c r="BB95" s="86">
        <f t="shared" si="38"/>
        <v>96.486679512973623</v>
      </c>
      <c r="BD95" s="86" t="str">
        <f t="shared" si="39"/>
        <v>2.73625834942353-31.4241224297897j</v>
      </c>
      <c r="BE95" s="86">
        <f t="shared" si="40"/>
        <v>29.978067475777948</v>
      </c>
      <c r="BF95" s="86">
        <f t="shared" si="41"/>
        <v>94.976483246998555</v>
      </c>
      <c r="BH95" s="86">
        <f t="shared" si="49"/>
        <v>-28.978067475777948</v>
      </c>
      <c r="BI95" s="162">
        <f t="shared" si="50"/>
        <v>-94.976483246998555</v>
      </c>
      <c r="BJ95" s="88"/>
      <c r="BK95" s="88"/>
      <c r="BL95" s="88"/>
      <c r="BM95" s="88"/>
      <c r="BN95" s="42"/>
      <c r="BO95" s="42"/>
      <c r="BP95" s="42"/>
    </row>
    <row r="96" spans="1:68" s="86" customFormat="1">
      <c r="A96" s="86">
        <v>32</v>
      </c>
      <c r="B96" s="86">
        <f t="shared" si="42"/>
        <v>436.51583224016599</v>
      </c>
      <c r="C96" s="86" t="str">
        <f t="shared" si="0"/>
        <v>2742.70986348268j</v>
      </c>
      <c r="D96" s="86">
        <f t="shared" si="1"/>
        <v>0.99999765409576125</v>
      </c>
      <c r="E96" s="86" t="str">
        <f t="shared" si="2"/>
        <v>-0.00240588584516025j</v>
      </c>
      <c r="F96" s="86" t="str">
        <f t="shared" si="3"/>
        <v>0.999997654095761-0.00240588584516025j</v>
      </c>
      <c r="G96" s="86">
        <f t="shared" si="4"/>
        <v>4.7619657041657021E-6</v>
      </c>
      <c r="H96" s="86">
        <f t="shared" si="5"/>
        <v>-0.13784716232767766</v>
      </c>
      <c r="J96" s="86">
        <f t="shared" si="6"/>
        <v>8.3707025411061284</v>
      </c>
      <c r="K96" s="86" t="str">
        <f t="shared" si="7"/>
        <v>1+0.117750411674733j</v>
      </c>
      <c r="L96" s="86">
        <f t="shared" si="8"/>
        <v>0.99912140733592891</v>
      </c>
      <c r="M96" s="86" t="str">
        <f t="shared" si="9"/>
        <v>0.00807787500674604j</v>
      </c>
      <c r="N96" s="86" t="str">
        <f t="shared" si="10"/>
        <v>0.999121407335929+0.00807787500674604j</v>
      </c>
      <c r="O96" s="86" t="str">
        <f t="shared" si="11"/>
        <v>1.00176672960668+0.109754694916855j</v>
      </c>
      <c r="P96" s="86" t="str">
        <f t="shared" si="12"/>
        <v>8.38549130911421+0.918723903638846j</v>
      </c>
      <c r="R96" s="86">
        <f t="shared" si="13"/>
        <v>11.958146487294469</v>
      </c>
      <c r="S96" s="86" t="str">
        <f t="shared" si="14"/>
        <v>1+0.000205703239761201j</v>
      </c>
      <c r="T96" s="86" t="str">
        <f t="shared" si="15"/>
        <v>0.999121407335929+0.00807787500674604j</v>
      </c>
      <c r="U96" s="86" t="str">
        <f t="shared" si="16"/>
        <v>1.00081560964694-0.00788568846780607j</v>
      </c>
      <c r="V96" s="86" t="str">
        <f t="shared" si="17"/>
        <v>11.967899666929-0.0942982178511937j</v>
      </c>
      <c r="X96" s="86" t="str">
        <f t="shared" si="18"/>
        <v>0.347170344239847+0.0371913177085952j</v>
      </c>
      <c r="Y96" s="86">
        <f t="shared" si="19"/>
        <v>-9.1395909402985023</v>
      </c>
      <c r="Z96" s="86">
        <f t="shared" si="20"/>
        <v>-173.88539463184443</v>
      </c>
      <c r="AB96" s="86" t="str">
        <f t="shared" si="21"/>
        <v>5.56581282457216-0.0438544978531852j</v>
      </c>
      <c r="AC96" s="86">
        <f t="shared" si="22"/>
        <v>14.910841556541003</v>
      </c>
      <c r="AD96" s="86">
        <f t="shared" si="23"/>
        <v>179.54856088000292</v>
      </c>
      <c r="AF96" s="86" t="str">
        <f t="shared" si="24"/>
        <v>4.12743967304604-0.146499229960308j</v>
      </c>
      <c r="AG96" s="86">
        <f t="shared" si="25"/>
        <v>12.319082580245189</v>
      </c>
      <c r="AH96" s="86">
        <f t="shared" si="26"/>
        <v>177.96719855107526</v>
      </c>
      <c r="AJ96" s="86" t="str">
        <f t="shared" si="27"/>
        <v>104980.767143433-1420.94336154255j</v>
      </c>
      <c r="AK96" s="86" t="str">
        <f t="shared" si="28"/>
        <v>20000-1.09708394539307E-06j</v>
      </c>
      <c r="AL96" s="86" t="str">
        <f t="shared" si="43"/>
        <v>10000-8102286.9090515j</v>
      </c>
      <c r="AM96" s="86" t="str">
        <f t="shared" si="44"/>
        <v>963.138422284679-2514503.65365335j</v>
      </c>
      <c r="AN96" s="86" t="str">
        <f t="shared" si="45"/>
        <v>10963.1384222847-2514503.65365335j</v>
      </c>
      <c r="AO96" s="86" t="str">
        <f t="shared" si="46"/>
        <v>19998.0414503733-159.053004092546j</v>
      </c>
      <c r="AP96" s="86" t="str">
        <f t="shared" si="47"/>
        <v>0.160003939592235+0.00181913217576726j</v>
      </c>
      <c r="AQ96" s="86" t="str">
        <f t="shared" si="29"/>
        <v>1+0.08392692182257j</v>
      </c>
      <c r="AR96" s="86">
        <f t="shared" ref="AR96:AR127" si="51">(IMPRODUCT(C96,C96))*_res1*_Cap1*_cap2 + (1/Roerr)</f>
        <v>9.9997698128037047E-8</v>
      </c>
      <c r="AS96" s="86" t="str">
        <f t="shared" si="31"/>
        <v>3.29967195546011E-06j</v>
      </c>
      <c r="AT96" s="86" t="str">
        <f t="shared" si="32"/>
        <v>9.9997698128037E-08+3.29967195546011E-06j</v>
      </c>
      <c r="AU96" s="86" t="str">
        <f t="shared" si="33"/>
        <v>5.18812714394605-45.3018364388184j</v>
      </c>
      <c r="AW96" s="86" t="str">
        <f t="shared" si="48"/>
        <v>0.898724015254223-7.24074916909354j</v>
      </c>
      <c r="AX96" s="86">
        <f t="shared" si="34"/>
        <v>17.262066676914348</v>
      </c>
      <c r="AY96" s="86">
        <f t="shared" si="35"/>
        <v>97.075383760198974</v>
      </c>
      <c r="AZ96" s="86" t="str">
        <f t="shared" si="36"/>
        <v>4.68459023096147-40.3400676752486j</v>
      </c>
      <c r="BA96" s="86">
        <f t="shared" si="37"/>
        <v>32.172908233455345</v>
      </c>
      <c r="BB96" s="86">
        <f t="shared" si="38"/>
        <v>96.623944640201898</v>
      </c>
      <c r="BD96" s="86" t="str">
        <f t="shared" si="39"/>
        <v>2.64866497807157-30.0174177592734j</v>
      </c>
      <c r="BE96" s="86">
        <f t="shared" si="40"/>
        <v>29.581149257159538</v>
      </c>
      <c r="BF96" s="86">
        <f t="shared" si="41"/>
        <v>95.042582311274245</v>
      </c>
      <c r="BH96" s="86">
        <f t="shared" si="49"/>
        <v>-28.581149257159538</v>
      </c>
      <c r="BI96" s="162">
        <f t="shared" si="50"/>
        <v>-95.042582311274245</v>
      </c>
      <c r="BJ96" s="88"/>
      <c r="BK96" s="88"/>
      <c r="BL96" s="88"/>
      <c r="BM96" s="88"/>
      <c r="BN96" s="42"/>
      <c r="BO96" s="42"/>
      <c r="BP96" s="42"/>
    </row>
    <row r="97" spans="1:68" s="86" customFormat="1">
      <c r="A97" s="86">
        <v>33</v>
      </c>
      <c r="B97" s="86">
        <f t="shared" si="42"/>
        <v>457.08818961487509</v>
      </c>
      <c r="C97" s="86" t="str">
        <f t="shared" si="0"/>
        <v>2871.9697970735j</v>
      </c>
      <c r="D97" s="86">
        <f t="shared" si="1"/>
        <v>0.99999742776715195</v>
      </c>
      <c r="E97" s="86" t="str">
        <f t="shared" si="2"/>
        <v>-0.00251927175181886j</v>
      </c>
      <c r="F97" s="86" t="str">
        <f t="shared" si="3"/>
        <v>0.999997427767152-0.00251927175181886j</v>
      </c>
      <c r="G97" s="86">
        <f t="shared" si="4"/>
        <v>5.2213938187610675E-6</v>
      </c>
      <c r="H97" s="86">
        <f t="shared" si="5"/>
        <v>-0.14434370474091873</v>
      </c>
      <c r="J97" s="86">
        <f t="shared" si="6"/>
        <v>8.3707025411061284</v>
      </c>
      <c r="K97" s="86" t="str">
        <f t="shared" si="7"/>
        <v>1+0.123299817609359j</v>
      </c>
      <c r="L97" s="86">
        <f t="shared" si="8"/>
        <v>0.99903664230055467</v>
      </c>
      <c r="M97" s="86" t="str">
        <f t="shared" si="9"/>
        <v>0.00845857352715063j</v>
      </c>
      <c r="N97" s="86" t="str">
        <f t="shared" si="10"/>
        <v>0.999036642300555+0.00845857352715063j</v>
      </c>
      <c r="O97" s="86" t="str">
        <f t="shared" si="11"/>
        <v>1.00193741518089+0.114935580389757j</v>
      </c>
      <c r="P97" s="86" t="str">
        <f t="shared" si="12"/>
        <v>8.38692006728398+0.962091554832047j</v>
      </c>
      <c r="R97" s="86">
        <f t="shared" si="13"/>
        <v>11.958146487294469</v>
      </c>
      <c r="S97" s="86" t="str">
        <f t="shared" si="14"/>
        <v>1+0.000215397734780512j</v>
      </c>
      <c r="T97" s="86" t="str">
        <f t="shared" si="15"/>
        <v>0.999036642300555+0.00845857352715063j</v>
      </c>
      <c r="U97" s="86" t="str">
        <f t="shared" si="16"/>
        <v>1.00089436249545-0.00825869690254628j</v>
      </c>
      <c r="V97" s="86" t="str">
        <f t="shared" si="17"/>
        <v>11.9688414050278-0.0987587073548135j</v>
      </c>
      <c r="X97" s="86" t="str">
        <f t="shared" si="18"/>
        <v>0.347238236324811+0.0389468102908186j</v>
      </c>
      <c r="Y97" s="86">
        <f t="shared" si="19"/>
        <v>-9.1331547122043091</v>
      </c>
      <c r="Z97" s="86">
        <f t="shared" si="20"/>
        <v>-173.600358255435</v>
      </c>
      <c r="AB97" s="86" t="str">
        <f t="shared" si="21"/>
        <v>5.56625079097676-0.0459289010796526j</v>
      </c>
      <c r="AC97" s="86">
        <f t="shared" si="22"/>
        <v>14.911551073085212</v>
      </c>
      <c r="AD97" s="86">
        <f t="shared" si="23"/>
        <v>179.52724507593328</v>
      </c>
      <c r="AF97" s="86" t="str">
        <f t="shared" si="24"/>
        <v>4.12716632257481-0.153401870071184j</v>
      </c>
      <c r="AG97" s="86">
        <f t="shared" si="25"/>
        <v>12.319035148350093</v>
      </c>
      <c r="AH97" s="86">
        <f t="shared" si="26"/>
        <v>177.87136382061908</v>
      </c>
      <c r="AJ97" s="86" t="str">
        <f t="shared" si="27"/>
        <v>104978.911964791-1487.88406527058j</v>
      </c>
      <c r="AK97" s="86" t="str">
        <f t="shared" si="28"/>
        <v>20000-0.0000011487879188294j</v>
      </c>
      <c r="AL97" s="86" t="str">
        <f t="shared" si="43"/>
        <v>10000-7737623.92796271j</v>
      </c>
      <c r="AM97" s="86" t="str">
        <f t="shared" si="44"/>
        <v>963.138354961241-2401332.42229666j</v>
      </c>
      <c r="AN97" s="86" t="str">
        <f t="shared" si="45"/>
        <v>10963.1383549612-2401332.42229666j</v>
      </c>
      <c r="AO97" s="86" t="str">
        <f t="shared" si="46"/>
        <v>19997.8525245887-166.546499962573j</v>
      </c>
      <c r="AP97" s="86" t="str">
        <f t="shared" si="47"/>
        <v>0.160004319675033+0.00190486437200728j</v>
      </c>
      <c r="AQ97" s="86" t="str">
        <f t="shared" si="29"/>
        <v>1+0.0878822757904491j</v>
      </c>
      <c r="AR97" s="86">
        <f t="shared" si="51"/>
        <v>9.9997476047582312E-8</v>
      </c>
      <c r="AS97" s="86" t="str">
        <f t="shared" si="31"/>
        <v>3.45518070376522E-06j</v>
      </c>
      <c r="AT97" s="86" t="str">
        <f t="shared" si="32"/>
        <v>9.99974760475823E-08+3.45518070376522E-06j</v>
      </c>
      <c r="AU97" s="86" t="str">
        <f t="shared" si="33"/>
        <v>5.06742622694923-43.2664115090536j</v>
      </c>
      <c r="AW97" s="86" t="str">
        <f t="shared" si="48"/>
        <v>0.879419835675301-6.91491700506097j</v>
      </c>
      <c r="AX97" s="86">
        <f t="shared" si="34"/>
        <v>16.865420406781197</v>
      </c>
      <c r="AY97" s="86">
        <f t="shared" si="35"/>
        <v>97.247808914115282</v>
      </c>
      <c r="AZ97" s="86" t="str">
        <f t="shared" si="36"/>
        <v>4.57747681682884-38.5305530355995j</v>
      </c>
      <c r="BA97" s="86">
        <f t="shared" si="37"/>
        <v>31.776971479866415</v>
      </c>
      <c r="BB97" s="86">
        <f t="shared" si="38"/>
        <v>96.775053990048562</v>
      </c>
      <c r="BD97" s="86" t="str">
        <f t="shared" si="39"/>
        <v>2.56875072923999-28.6739172340578j</v>
      </c>
      <c r="BE97" s="86">
        <f t="shared" si="40"/>
        <v>29.184455555131294</v>
      </c>
      <c r="BF97" s="86">
        <f t="shared" si="41"/>
        <v>95.119172734734363</v>
      </c>
      <c r="BH97" s="86">
        <f t="shared" si="49"/>
        <v>-28.184455555131294</v>
      </c>
      <c r="BI97" s="162">
        <f t="shared" si="50"/>
        <v>-95.119172734734363</v>
      </c>
      <c r="BJ97" s="88"/>
      <c r="BK97" s="88"/>
      <c r="BL97" s="88"/>
      <c r="BM97" s="88"/>
      <c r="BN97" s="42"/>
      <c r="BO97" s="42"/>
      <c r="BP97" s="42"/>
    </row>
    <row r="98" spans="1:68" s="86" customFormat="1">
      <c r="A98" s="86">
        <v>34</v>
      </c>
      <c r="B98" s="86">
        <f t="shared" si="42"/>
        <v>478.6300923226384</v>
      </c>
      <c r="C98" s="86" t="str">
        <f t="shared" si="0"/>
        <v>3007.32156365561j</v>
      </c>
      <c r="D98" s="86">
        <f t="shared" si="1"/>
        <v>0.99999717960276668</v>
      </c>
      <c r="E98" s="86" t="str">
        <f t="shared" si="2"/>
        <v>-0.00263800137162773j</v>
      </c>
      <c r="F98" s="86" t="str">
        <f t="shared" si="3"/>
        <v>0.999997179602767-0.00263800137162773j</v>
      </c>
      <c r="G98" s="86">
        <f t="shared" si="4"/>
        <v>5.7251471861666608E-6</v>
      </c>
      <c r="H98" s="86">
        <f t="shared" si="5"/>
        <v>-0.15114642062470432</v>
      </c>
      <c r="J98" s="86">
        <f t="shared" si="6"/>
        <v>8.3707025411061284</v>
      </c>
      <c r="K98" s="86" t="str">
        <f t="shared" si="7"/>
        <v>1+0.129110758988229j</v>
      </c>
      <c r="L98" s="86">
        <f t="shared" si="8"/>
        <v>0.99894369928747151</v>
      </c>
      <c r="M98" s="86" t="str">
        <f t="shared" si="9"/>
        <v>0.00885721381606701j</v>
      </c>
      <c r="N98" s="86" t="str">
        <f t="shared" si="10"/>
        <v>0.998943699287472+0.00885721381606701j</v>
      </c>
      <c r="O98" s="86" t="str">
        <f t="shared" si="11"/>
        <v>1.00212461572207+0.120361865320534j</v>
      </c>
      <c r="P98" s="86" t="str">
        <f t="shared" si="12"/>
        <v>8.38848706732973+1.00751337189087j</v>
      </c>
      <c r="R98" s="86">
        <f t="shared" si="13"/>
        <v>11.958146487294469</v>
      </c>
      <c r="S98" s="86" t="str">
        <f t="shared" si="14"/>
        <v>1+0.000225549117274171j</v>
      </c>
      <c r="T98" s="86" t="str">
        <f t="shared" si="15"/>
        <v>0.998943699287472+0.00885721381606701j</v>
      </c>
      <c r="U98" s="86" t="str">
        <f t="shared" si="16"/>
        <v>1.00098072629279-0.00864948766124274j</v>
      </c>
      <c r="V98" s="86" t="str">
        <f t="shared" si="17"/>
        <v>11.9698741559676-0.103431840493187j</v>
      </c>
      <c r="X98" s="86" t="str">
        <f t="shared" si="18"/>
        <v>0.347312696420248+0.0407854400313609j</v>
      </c>
      <c r="Y98" s="86">
        <f t="shared" si="19"/>
        <v>-9.1261061329052104</v>
      </c>
      <c r="Z98" s="86">
        <f t="shared" si="20"/>
        <v>-173.30234726875904</v>
      </c>
      <c r="AB98" s="86" t="str">
        <f t="shared" si="21"/>
        <v>5.56673108397597-0.0481021967352275j</v>
      </c>
      <c r="AC98" s="86">
        <f t="shared" si="22"/>
        <v>14.912329103874608</v>
      </c>
      <c r="AD98" s="86">
        <f t="shared" si="23"/>
        <v>179.50491873520838</v>
      </c>
      <c r="AF98" s="86" t="str">
        <f t="shared" si="24"/>
        <v>4.12686657733123-0.160629575166487j</v>
      </c>
      <c r="AG98" s="86">
        <f t="shared" si="25"/>
        <v>12.318983110098451</v>
      </c>
      <c r="AH98" s="86">
        <f t="shared" si="26"/>
        <v>177.77100783830224</v>
      </c>
      <c r="AJ98" s="86" t="str">
        <f t="shared" si="27"/>
        <v>104976.877877221-1557.97569277288j</v>
      </c>
      <c r="AK98" s="86" t="str">
        <f t="shared" si="28"/>
        <v>20000-1.20292862546224E-06j</v>
      </c>
      <c r="AL98" s="86" t="str">
        <f t="shared" si="43"/>
        <v>10000-7389373.48462651j</v>
      </c>
      <c r="AM98" s="86" t="str">
        <f t="shared" si="44"/>
        <v>963.138281142558-2293254.7389599j</v>
      </c>
      <c r="AN98" s="86" t="str">
        <f t="shared" si="45"/>
        <v>10963.1382811426-2293254.7389599j</v>
      </c>
      <c r="AO98" s="86" t="str">
        <f t="shared" si="46"/>
        <v>19997.6453779655-174.392791815246j</v>
      </c>
      <c r="AP98" s="86" t="str">
        <f t="shared" si="47"/>
        <v>0.160004736427137+0.00199463687448215j</v>
      </c>
      <c r="AQ98" s="86" t="str">
        <f t="shared" si="29"/>
        <v>1+0.0920240398478617j</v>
      </c>
      <c r="AR98" s="86">
        <f t="shared" si="51"/>
        <v>9.9997232541205905E-8</v>
      </c>
      <c r="AS98" s="86" t="str">
        <f t="shared" si="31"/>
        <v>3.61801835358716E-06j</v>
      </c>
      <c r="AT98" s="86" t="str">
        <f t="shared" si="32"/>
        <v>9.99972325412059E-08+3.61801835358716E-06j</v>
      </c>
      <c r="AU98" s="86" t="str">
        <f t="shared" si="33"/>
        <v>4.95732868592829-41.3221455060837j</v>
      </c>
      <c r="AW98" s="86" t="str">
        <f t="shared" si="48"/>
        <v>0.861811943901326-6.60365394760015j</v>
      </c>
      <c r="AX98" s="86">
        <f t="shared" si="34"/>
        <v>16.469030765680618</v>
      </c>
      <c r="AY98" s="86">
        <f t="shared" si="35"/>
        <v>97.435381585079924</v>
      </c>
      <c r="AZ98" s="86" t="str">
        <f t="shared" si="36"/>
        <v>4.47982507529844-36.8022207456007j</v>
      </c>
      <c r="BA98" s="86">
        <f t="shared" si="37"/>
        <v>31.381359869555233</v>
      </c>
      <c r="BB98" s="86">
        <f t="shared" si="38"/>
        <v>96.940300320288273</v>
      </c>
      <c r="BD98" s="86" t="str">
        <f t="shared" si="39"/>
        <v>2.49584077908174-27.3908312510348j</v>
      </c>
      <c r="BE98" s="86">
        <f t="shared" si="40"/>
        <v>28.788013875779082</v>
      </c>
      <c r="BF98" s="86">
        <f t="shared" si="41"/>
        <v>95.206389423382149</v>
      </c>
      <c r="BH98" s="86">
        <f t="shared" si="49"/>
        <v>-27.788013875779082</v>
      </c>
      <c r="BI98" s="162">
        <f t="shared" si="50"/>
        <v>-95.206389423382149</v>
      </c>
      <c r="BJ98" s="88"/>
      <c r="BK98" s="88"/>
      <c r="BL98" s="88"/>
      <c r="BM98" s="88"/>
      <c r="BN98" s="42"/>
      <c r="BO98" s="42"/>
      <c r="BP98" s="42"/>
    </row>
    <row r="99" spans="1:68" s="86" customFormat="1">
      <c r="A99" s="86">
        <v>35</v>
      </c>
      <c r="B99" s="86">
        <f t="shared" si="42"/>
        <v>501.18723362727235</v>
      </c>
      <c r="C99" s="86" t="str">
        <f t="shared" si="0"/>
        <v>3149.05226247286j</v>
      </c>
      <c r="D99" s="86">
        <f t="shared" si="1"/>
        <v>0.99999690749592918</v>
      </c>
      <c r="E99" s="86" t="str">
        <f t="shared" si="2"/>
        <v>-0.00276232654602882j</v>
      </c>
      <c r="F99" s="86" t="str">
        <f t="shared" si="3"/>
        <v>0.999996907495929-0.00276232654602882j</v>
      </c>
      <c r="G99" s="86">
        <f t="shared" si="4"/>
        <v>6.2775023101684873E-6</v>
      </c>
      <c r="H99" s="86">
        <f t="shared" si="5"/>
        <v>-0.15826973961745325</v>
      </c>
      <c r="J99" s="86">
        <f t="shared" si="6"/>
        <v>8.3707025411061284</v>
      </c>
      <c r="K99" s="86" t="str">
        <f t="shared" si="7"/>
        <v>1+0.135195561597094j</v>
      </c>
      <c r="L99" s="86">
        <f t="shared" si="8"/>
        <v>0.998841789300142</v>
      </c>
      <c r="M99" s="86" t="str">
        <f t="shared" si="9"/>
        <v>0.00927464144299462j</v>
      </c>
      <c r="N99" s="86" t="str">
        <f t="shared" si="10"/>
        <v>0.998841789300142+0.00927464144299462j</v>
      </c>
      <c r="O99" s="86" t="str">
        <f t="shared" si="11"/>
        <v>1.00232993419783+0.12604529786248j</v>
      </c>
      <c r="P99" s="86" t="str">
        <f t="shared" si="12"/>
        <v>8.39020572721651+1.05508769511194j</v>
      </c>
      <c r="R99" s="86">
        <f t="shared" si="13"/>
        <v>11.958146487294469</v>
      </c>
      <c r="S99" s="86" t="str">
        <f t="shared" si="14"/>
        <v>1+0.000236178919685465j</v>
      </c>
      <c r="T99" s="86" t="str">
        <f t="shared" si="15"/>
        <v>0.998841789300142+0.00927464144299462j</v>
      </c>
      <c r="U99" s="86" t="str">
        <f t="shared" si="16"/>
        <v>1.00107543796553-0.00905892897329977j</v>
      </c>
      <c r="V99" s="86" t="str">
        <f t="shared" si="17"/>
        <v>11.9710067320243-0.108327999680715j</v>
      </c>
      <c r="X99" s="86" t="str">
        <f t="shared" si="18"/>
        <v>0.347394361824576+0.0427111849231382j</v>
      </c>
      <c r="Y99" s="86">
        <f t="shared" si="19"/>
        <v>-9.1183878341072635</v>
      </c>
      <c r="Z99" s="86">
        <f t="shared" si="20"/>
        <v>-172.99081666084197</v>
      </c>
      <c r="AB99" s="86" t="str">
        <f t="shared" si="21"/>
        <v>5.56725780182259-0.0503792132841206j</v>
      </c>
      <c r="AC99" s="86">
        <f t="shared" si="22"/>
        <v>14.913182271463794</v>
      </c>
      <c r="AD99" s="86">
        <f t="shared" si="23"/>
        <v>179.48153334861249</v>
      </c>
      <c r="AF99" s="86" t="str">
        <f t="shared" si="24"/>
        <v>4.12653788627084-0.168197628295015j</v>
      </c>
      <c r="AG99" s="86">
        <f t="shared" si="25"/>
        <v>12.318926014967735</v>
      </c>
      <c r="AH99" s="86">
        <f t="shared" si="26"/>
        <v>177.66591682869398</v>
      </c>
      <c r="AJ99" s="86" t="str">
        <f t="shared" si="27"/>
        <v>104974.647635148-1631.36616583233j</v>
      </c>
      <c r="AK99" s="86" t="str">
        <f t="shared" si="28"/>
        <v>20000-1.25962090498914E-06j</v>
      </c>
      <c r="AL99" s="86" t="str">
        <f t="shared" si="43"/>
        <v>10000-7056796.89316166j</v>
      </c>
      <c r="AM99" s="86" t="str">
        <f t="shared" si="44"/>
        <v>963.138200202014-2190041.35638647j</v>
      </c>
      <c r="AN99" s="86" t="str">
        <f t="shared" si="45"/>
        <v>10963.138200202-2190041.35638647j</v>
      </c>
      <c r="AO99" s="86" t="str">
        <f t="shared" si="46"/>
        <v>19997.4182538803-182.608452863351j</v>
      </c>
      <c r="AP99" s="86" t="str">
        <f t="shared" si="47"/>
        <v>0.160005193386259+0.00208864007804024j</v>
      </c>
      <c r="AQ99" s="86" t="str">
        <f t="shared" si="29"/>
        <v>1+0.0963609992316695j</v>
      </c>
      <c r="AR99" s="86">
        <f t="shared" si="51"/>
        <v>9.9996965541773547E-8</v>
      </c>
      <c r="AS99" s="86" t="str">
        <f t="shared" si="31"/>
        <v>3.78853030541322E-06j</v>
      </c>
      <c r="AT99" s="86" t="str">
        <f t="shared" si="32"/>
        <v>9.99969655417735E-08+3.78853030541322E-06j</v>
      </c>
      <c r="AU99" s="86" t="str">
        <f t="shared" si="33"/>
        <v>4.85690439500877-39.464993611095j</v>
      </c>
      <c r="AW99" s="86" t="str">
        <f t="shared" si="48"/>
        <v>0.845751585075856-6.30631243943492j</v>
      </c>
      <c r="AX99" s="86">
        <f t="shared" si="34"/>
        <v>16.072927740288925</v>
      </c>
      <c r="AY99" s="86">
        <f t="shared" si="35"/>
        <v>97.638468658248726</v>
      </c>
      <c r="AZ99" s="86" t="str">
        <f t="shared" si="36"/>
        <v>4.39081005099479-35.1514754286649j</v>
      </c>
      <c r="BA99" s="86">
        <f t="shared" si="37"/>
        <v>30.986110011752743</v>
      </c>
      <c r="BB99" s="86">
        <f t="shared" si="38"/>
        <v>97.120002006861213</v>
      </c>
      <c r="BD99" s="86" t="str">
        <f t="shared" si="39"/>
        <v>2.42931916258883-26.1654906147258j</v>
      </c>
      <c r="BE99" s="86">
        <f t="shared" si="40"/>
        <v>28.391853755256669</v>
      </c>
      <c r="BF99" s="86">
        <f t="shared" si="41"/>
        <v>95.304385486942707</v>
      </c>
      <c r="BH99" s="86">
        <f t="shared" si="49"/>
        <v>-27.391853755256669</v>
      </c>
      <c r="BI99" s="162">
        <f t="shared" si="50"/>
        <v>-95.304385486942707</v>
      </c>
      <c r="BJ99" s="88"/>
      <c r="BK99" s="88"/>
      <c r="BL99" s="88"/>
      <c r="BM99" s="88"/>
      <c r="BN99" s="42"/>
      <c r="BO99" s="42"/>
      <c r="BP99" s="42"/>
    </row>
    <row r="100" spans="1:68" s="86" customFormat="1">
      <c r="A100" s="86">
        <v>36</v>
      </c>
      <c r="B100" s="86">
        <f t="shared" si="42"/>
        <v>524.80746024977259</v>
      </c>
      <c r="C100" s="86" t="str">
        <f t="shared" si="0"/>
        <v>3297.46252333961j</v>
      </c>
      <c r="D100" s="86">
        <f t="shared" si="1"/>
        <v>0.99999660913671484</v>
      </c>
      <c r="E100" s="86" t="str">
        <f t="shared" si="2"/>
        <v>-0.00289251098538562j</v>
      </c>
      <c r="F100" s="86" t="str">
        <f t="shared" si="3"/>
        <v>0.999996609136715-0.00289251098538562j</v>
      </c>
      <c r="G100" s="86">
        <f t="shared" si="4"/>
        <v>6.883148324233287E-6</v>
      </c>
      <c r="H100" s="86">
        <f t="shared" si="5"/>
        <v>-0.16572877142435305</v>
      </c>
      <c r="J100" s="86">
        <f t="shared" si="6"/>
        <v>8.3707025411061284</v>
      </c>
      <c r="K100" s="86" t="str">
        <f t="shared" si="7"/>
        <v>1+0.141567132118091j</v>
      </c>
      <c r="L100" s="86">
        <f t="shared" si="8"/>
        <v>0.99873004722106595</v>
      </c>
      <c r="M100" s="86" t="str">
        <f t="shared" si="9"/>
        <v>0.00971174182789567j</v>
      </c>
      <c r="N100" s="86" t="str">
        <f t="shared" si="10"/>
        <v>0.998730047221066+0.00971174182789567j</v>
      </c>
      <c r="O100" s="86" t="str">
        <f t="shared" si="11"/>
        <v>1.00255513018189+0.131998207015346j</v>
      </c>
      <c r="P100" s="86" t="str">
        <f t="shared" si="12"/>
        <v>8.39209077581253+1.10491772688481j</v>
      </c>
      <c r="R100" s="86">
        <f t="shared" si="13"/>
        <v>11.958146487294469</v>
      </c>
      <c r="S100" s="86" t="str">
        <f t="shared" si="14"/>
        <v>1+0.000247309689250471j</v>
      </c>
      <c r="T100" s="86" t="str">
        <f t="shared" si="15"/>
        <v>0.998730047221066+0.00971174182789567j</v>
      </c>
      <c r="U100" s="86" t="str">
        <f t="shared" si="16"/>
        <v>1.00117930607177-0.00948793448351401j</v>
      </c>
      <c r="V100" s="86" t="str">
        <f t="shared" si="17"/>
        <v>11.9722488020541-0.113458110415713j</v>
      </c>
      <c r="X100" s="86" t="str">
        <f t="shared" si="18"/>
        <v>0.347483932057818+0.044728219331125j</v>
      </c>
      <c r="Y100" s="86">
        <f t="shared" si="19"/>
        <v>-9.1099372492397706</v>
      </c>
      <c r="Z100" s="86">
        <f t="shared" si="20"/>
        <v>-172.66520520203662</v>
      </c>
      <c r="AB100" s="86" t="str">
        <f t="shared" si="21"/>
        <v>5.56783544113219-0.0527650317581198j</v>
      </c>
      <c r="AC100" s="86">
        <f t="shared" si="22"/>
        <v>14.914117839855692</v>
      </c>
      <c r="AD100" s="86">
        <f t="shared" si="23"/>
        <v>179.45703798925604</v>
      </c>
      <c r="AF100" s="86" t="str">
        <f t="shared" si="24"/>
        <v>4.12617745131656-0.176122027249202j</v>
      </c>
      <c r="AG100" s="86">
        <f t="shared" si="25"/>
        <v>12.3188633677343</v>
      </c>
      <c r="AH100" s="86">
        <f t="shared" si="26"/>
        <v>177.55586683865874</v>
      </c>
      <c r="AJ100" s="86" t="str">
        <f t="shared" si="27"/>
        <v>104972.20233226-1708.21029220835j</v>
      </c>
      <c r="AK100" s="86" t="str">
        <f t="shared" si="28"/>
        <v>20000-1.31898500933584E-06j</v>
      </c>
      <c r="AL100" s="86" t="str">
        <f t="shared" si="43"/>
        <v>10000-6739188.71402852j</v>
      </c>
      <c r="AM100" s="86" t="str">
        <f t="shared" si="44"/>
        <v>963.13811145247-2091473.3451539j</v>
      </c>
      <c r="AN100" s="86" t="str">
        <f t="shared" si="45"/>
        <v>10963.1381114525-2091473.3451539j</v>
      </c>
      <c r="AO100" s="86" t="str">
        <f t="shared" si="46"/>
        <v>19997.1692264945-191.210829463346j</v>
      </c>
      <c r="AP100" s="86" t="str">
        <f t="shared" si="47"/>
        <v>0.1600056944314+0.00218707334775972j</v>
      </c>
      <c r="AQ100" s="86" t="str">
        <f t="shared" si="29"/>
        <v>1+0.100902353214192j</v>
      </c>
      <c r="AR100" s="86">
        <f t="shared" si="51"/>
        <v>9.9996672782717583E-8</v>
      </c>
      <c r="AS100" s="86" t="str">
        <f t="shared" si="31"/>
        <v>3.96707823795418E-06j</v>
      </c>
      <c r="AT100" s="86" t="str">
        <f t="shared" si="32"/>
        <v>9.99966727827176E-08+3.96707823795418E-06j</v>
      </c>
      <c r="AU100" s="86" t="str">
        <f t="shared" si="33"/>
        <v>4.76530458953743-37.6910855867968j</v>
      </c>
      <c r="AW100" s="86" t="str">
        <f t="shared" si="48"/>
        <v>0.831103020584174-6.02227282139459j</v>
      </c>
      <c r="AX100" s="86">
        <f t="shared" si="34"/>
        <v>15.677143620565907</v>
      </c>
      <c r="AY100" s="86">
        <f t="shared" si="35"/>
        <v>97.857465141424655</v>
      </c>
      <c r="AZ100" s="86" t="str">
        <f t="shared" si="36"/>
        <v>4.30967943656363-33.5748772284033j</v>
      </c>
      <c r="BA100" s="86">
        <f t="shared" si="37"/>
        <v>30.591261460421592</v>
      </c>
      <c r="BB100" s="86">
        <f t="shared" si="38"/>
        <v>97.314503130680677</v>
      </c>
      <c r="BD100" s="86" t="str">
        <f t="shared" si="39"/>
        <v>2.36862364530371-24.9953418701531j</v>
      </c>
      <c r="BE100" s="86">
        <f t="shared" si="40"/>
        <v>27.996006988300195</v>
      </c>
      <c r="BF100" s="86">
        <f t="shared" si="41"/>
        <v>95.413331980083385</v>
      </c>
      <c r="BH100" s="86">
        <f t="shared" si="49"/>
        <v>-26.996006988300195</v>
      </c>
      <c r="BI100" s="162">
        <f t="shared" si="50"/>
        <v>-95.413331980083385</v>
      </c>
      <c r="BJ100" s="88"/>
      <c r="BK100" s="88"/>
      <c r="BL100" s="88"/>
      <c r="BM100" s="88"/>
      <c r="BN100" s="42"/>
      <c r="BO100" s="42"/>
      <c r="BP100" s="42"/>
    </row>
    <row r="101" spans="1:68" s="86" customFormat="1">
      <c r="A101" s="86">
        <v>37</v>
      </c>
      <c r="B101" s="86">
        <f t="shared" si="42"/>
        <v>549.54087385762455</v>
      </c>
      <c r="C101" s="86" t="str">
        <f t="shared" si="0"/>
        <v>3452.86714431686j</v>
      </c>
      <c r="D101" s="86">
        <f t="shared" si="1"/>
        <v>0.99999628199234181</v>
      </c>
      <c r="E101" s="86" t="str">
        <f t="shared" si="2"/>
        <v>-0.00302883082834812j</v>
      </c>
      <c r="F101" s="86" t="str">
        <f t="shared" si="3"/>
        <v>0.999996281992342-0.00302883082834812j</v>
      </c>
      <c r="G101" s="86">
        <f t="shared" si="4"/>
        <v>7.5472267637886632E-6</v>
      </c>
      <c r="H101" s="86">
        <f t="shared" si="5"/>
        <v>-0.17353933787071044</v>
      </c>
      <c r="J101" s="86">
        <f t="shared" si="6"/>
        <v>8.3707025411061284</v>
      </c>
      <c r="K101" s="86" t="str">
        <f t="shared" si="7"/>
        <v>1+0.148238985506546j</v>
      </c>
      <c r="L101" s="86">
        <f t="shared" si="8"/>
        <v>0.99860752446776746</v>
      </c>
      <c r="M101" s="86" t="str">
        <f t="shared" si="9"/>
        <v>0.0101694421192896j</v>
      </c>
      <c r="N101" s="86" t="str">
        <f t="shared" si="10"/>
        <v>0.998607524467767+0.0101694421192896j</v>
      </c>
      <c r="O101" s="86" t="str">
        <f t="shared" si="11"/>
        <v>1.0028021353606+0.138233534047792j</v>
      </c>
      <c r="P101" s="86" t="str">
        <f t="shared" si="12"/>
        <v>8.39415838268963+1.15711179471993j</v>
      </c>
      <c r="R101" s="86">
        <f t="shared" si="13"/>
        <v>11.958146487294469</v>
      </c>
      <c r="S101" s="86" t="str">
        <f t="shared" si="14"/>
        <v>1+0.000258965035823764j</v>
      </c>
      <c r="T101" s="86" t="str">
        <f t="shared" si="15"/>
        <v>0.998607524467767+0.0101694421192896j</v>
      </c>
      <c r="U101" s="86" t="str">
        <f t="shared" si="16"/>
        <v>1.00129321782044-0.00993746606558715j</v>
      </c>
      <c r="V101" s="86" t="str">
        <f t="shared" si="17"/>
        <v>11.9736109754313-0.118833674924809j</v>
      </c>
      <c r="X101" s="86" t="str">
        <f t="shared" si="18"/>
        <v>0.347582175014285+0.0468409245718233j</v>
      </c>
      <c r="Y101" s="86">
        <f t="shared" si="19"/>
        <v>-9.1006861770831176</v>
      </c>
      <c r="Z101" s="86">
        <f t="shared" si="20"/>
        <v>-172.32493598704133</v>
      </c>
      <c r="AB101" s="86" t="str">
        <f t="shared" si="21"/>
        <v>5.56846893591934-0.0552650014033131j</v>
      </c>
      <c r="AC101" s="86">
        <f t="shared" si="22"/>
        <v>14.915143776897716</v>
      </c>
      <c r="AD101" s="86">
        <f t="shared" si="23"/>
        <v>179.43137917901493</v>
      </c>
      <c r="AF101" s="86" t="str">
        <f t="shared" si="24"/>
        <v>4.12578220334187-0.1844195174125j</v>
      </c>
      <c r="AG101" s="86">
        <f t="shared" si="25"/>
        <v>12.318794623911227</v>
      </c>
      <c r="AH101" s="86">
        <f t="shared" si="26"/>
        <v>177.44062324253261</v>
      </c>
      <c r="AJ101" s="86" t="str">
        <f t="shared" si="27"/>
        <v>104969.521241896-1788.67007753576j</v>
      </c>
      <c r="AK101" s="86" t="str">
        <f t="shared" si="28"/>
        <v>20000-1.38114685772674E-06j</v>
      </c>
      <c r="AL101" s="86" t="str">
        <f t="shared" si="43"/>
        <v>10000-6435875.25769654j</v>
      </c>
      <c r="AM101" s="86" t="str">
        <f t="shared" si="44"/>
        <v>963.138014140566-1997341.62929508j</v>
      </c>
      <c r="AN101" s="86" t="str">
        <f t="shared" si="45"/>
        <v>10963.1380141406-1997341.62929508j</v>
      </c>
      <c r="AO101" s="86" t="str">
        <f t="shared" si="46"/>
        <v>19996.8961844817-200.218076379462j</v>
      </c>
      <c r="AP101" s="86" t="str">
        <f t="shared" si="47"/>
        <v>0.160006243815786+0.00229014544128768j</v>
      </c>
      <c r="AQ101" s="86" t="str">
        <f t="shared" si="29"/>
        <v>1+0.105657734616096j</v>
      </c>
      <c r="AR101" s="86">
        <f t="shared" si="51"/>
        <v>9.9996351778796006E-8</v>
      </c>
      <c r="AS101" s="86" t="str">
        <f t="shared" si="31"/>
        <v>4.15404087531328E-06j</v>
      </c>
      <c r="AT101" s="86" t="str">
        <f t="shared" si="32"/>
        <v>9.9996351778796E-08+4.15404087531328E-06j</v>
      </c>
      <c r="AU101" s="86" t="str">
        <f t="shared" si="33"/>
        <v>4.68175478770977-35.9967188791875j</v>
      </c>
      <c r="AW101" s="86" t="str">
        <f t="shared" si="48"/>
        <v>0.817742396048892-5.75094222774826j</v>
      </c>
      <c r="AX101" s="86">
        <f t="shared" si="34"/>
        <v>15.281713247716056</v>
      </c>
      <c r="AY101" s="86">
        <f t="shared" si="35"/>
        <v>98.092794351779744</v>
      </c>
      <c r="AZ101" s="86" t="str">
        <f t="shared" si="36"/>
        <v>4.23574729969562-32.0691356821481j</v>
      </c>
      <c r="BA101" s="86">
        <f t="shared" si="37"/>
        <v>30.196857024613767</v>
      </c>
      <c r="BB101" s="86">
        <f t="shared" si="38"/>
        <v>97.52417353079467</v>
      </c>
      <c r="BD101" s="86" t="str">
        <f t="shared" si="39"/>
        <v>2.31324103422816-23.8779427537381j</v>
      </c>
      <c r="BE101" s="86">
        <f t="shared" si="40"/>
        <v>27.600507871627286</v>
      </c>
      <c r="BF101" s="86">
        <f t="shared" si="41"/>
        <v>95.53341759431234</v>
      </c>
      <c r="BH101" s="86">
        <f t="shared" si="49"/>
        <v>-26.600507871627286</v>
      </c>
      <c r="BI101" s="162">
        <f t="shared" si="50"/>
        <v>-95.53341759431234</v>
      </c>
      <c r="BJ101" s="88"/>
      <c r="BK101" s="88"/>
      <c r="BL101" s="88"/>
      <c r="BM101" s="88"/>
      <c r="BN101" s="42"/>
      <c r="BO101" s="42"/>
      <c r="BP101" s="42"/>
    </row>
    <row r="102" spans="1:68" s="86" customFormat="1">
      <c r="A102" s="86">
        <v>38</v>
      </c>
      <c r="B102" s="86">
        <f t="shared" si="42"/>
        <v>575.43993733715718</v>
      </c>
      <c r="C102" s="86" t="str">
        <f t="shared" si="0"/>
        <v>3615.59575944117j</v>
      </c>
      <c r="D102" s="86">
        <f t="shared" si="1"/>
        <v>0.99999592328566966</v>
      </c>
      <c r="E102" s="86" t="str">
        <f t="shared" si="2"/>
        <v>-0.00317157522757997j</v>
      </c>
      <c r="F102" s="86" t="str">
        <f t="shared" si="3"/>
        <v>0.99999592328567-0.00317157522757997j</v>
      </c>
      <c r="G102" s="86">
        <f t="shared" si="4"/>
        <v>8.2753752477973071E-6</v>
      </c>
      <c r="H102" s="86">
        <f t="shared" si="5"/>
        <v>-0.18171800646634947</v>
      </c>
      <c r="J102" s="86">
        <f t="shared" si="6"/>
        <v>8.3707025411061284</v>
      </c>
      <c r="K102" s="86" t="str">
        <f t="shared" si="7"/>
        <v>1+0.155225273658008j</v>
      </c>
      <c r="L102" s="86">
        <f t="shared" si="8"/>
        <v>0.99847318094024406</v>
      </c>
      <c r="M102" s="86" t="str">
        <f t="shared" si="9"/>
        <v>0.0106487131608594j</v>
      </c>
      <c r="N102" s="86" t="str">
        <f t="shared" si="10"/>
        <v>0.998473180940244+0.0106487131608594j</v>
      </c>
      <c r="O102" s="86" t="str">
        <f t="shared" si="11"/>
        <v>1.00307307061642+0.144764866006233j</v>
      </c>
      <c r="P102" s="86" t="str">
        <f t="shared" si="12"/>
        <v>8.39642630112399+1.21178363174126j</v>
      </c>
      <c r="R102" s="86">
        <f t="shared" si="13"/>
        <v>11.958146487294469</v>
      </c>
      <c r="S102" s="86" t="str">
        <f t="shared" si="14"/>
        <v>1+0.000271169681958088j</v>
      </c>
      <c r="T102" s="86" t="str">
        <f t="shared" si="15"/>
        <v>0.998473180940244+0.0106487131608594j</v>
      </c>
      <c r="U102" s="86" t="str">
        <f t="shared" si="16"/>
        <v>1.00141814678975-0.0104085368697623j</v>
      </c>
      <c r="V102" s="86" t="str">
        <f t="shared" si="17"/>
        <v>11.9751048943468-0.124466808607023j</v>
      </c>
      <c r="X102" s="86" t="str">
        <f t="shared" si="18"/>
        <v>0.347689933739347+0.04905390018939j</v>
      </c>
      <c r="Y102" s="86">
        <f t="shared" si="19"/>
        <v>-9.0905603155797614</v>
      </c>
      <c r="Z102" s="86">
        <f t="shared" si="20"/>
        <v>-171.96941717373605</v>
      </c>
      <c r="AB102" s="86" t="str">
        <f t="shared" si="21"/>
        <v>5.56916370052216-0.057884756628838j</v>
      </c>
      <c r="AC102" s="86">
        <f t="shared" si="22"/>
        <v>14.9162688228008</v>
      </c>
      <c r="AD102" s="86">
        <f t="shared" si="23"/>
        <v>179.40450074573394</v>
      </c>
      <c r="AF102" s="86" t="str">
        <f t="shared" si="24"/>
        <v>4.12534877579975-0.19310762602585j</v>
      </c>
      <c r="AG102" s="86">
        <f t="shared" si="25"/>
        <v>12.318719184694924</v>
      </c>
      <c r="AH102" s="86">
        <f t="shared" si="26"/>
        <v>177.31994022174919</v>
      </c>
      <c r="AJ102" s="86" t="str">
        <f t="shared" si="27"/>
        <v>104966.581642177-1872.91505005701j</v>
      </c>
      <c r="AK102" s="86" t="str">
        <f t="shared" si="28"/>
        <v>20000-1.44623830377647E-06j</v>
      </c>
      <c r="AL102" s="86" t="str">
        <f t="shared" si="43"/>
        <v>10000-6146213.15565899j</v>
      </c>
      <c r="AM102" s="86" t="str">
        <f t="shared" si="44"/>
        <v>963.1379074402-1907446.54282024j</v>
      </c>
      <c r="AN102" s="86" t="str">
        <f t="shared" si="45"/>
        <v>10963.1379074402-1907446.54282024j</v>
      </c>
      <c r="AO102" s="86" t="str">
        <f t="shared" si="46"/>
        <v>19996.5968131955-209.649193536352j</v>
      </c>
      <c r="AP102" s="86" t="str">
        <f t="shared" si="47"/>
        <v>0.160006846202961+0.00239807495102122j</v>
      </c>
      <c r="AQ102" s="86" t="str">
        <f t="shared" si="29"/>
        <v>1+0.1106372302389j</v>
      </c>
      <c r="AR102" s="86">
        <f t="shared" si="51"/>
        <v>9.9995999804995113E-8</v>
      </c>
      <c r="AS102" s="86" t="str">
        <f t="shared" si="31"/>
        <v>4.34981479031089E-06j</v>
      </c>
      <c r="AT102" s="86" t="str">
        <f t="shared" si="32"/>
        <v>9.99959998049951E-08+4.34981479031089E-06j</v>
      </c>
      <c r="AU102" s="86" t="str">
        <f t="shared" si="33"/>
        <v>4.60554832151299-34.3783519068526j</v>
      </c>
      <c r="AW102" s="86" t="str">
        <f t="shared" si="48"/>
        <v>0.805556706808227-5.4917535114761j</v>
      </c>
      <c r="AX102" s="86">
        <f t="shared" si="34"/>
        <v>14.886674278745975</v>
      </c>
      <c r="AY102" s="86">
        <f t="shared" si="35"/>
        <v>98.344908066994023</v>
      </c>
      <c r="AZ102" s="86" t="str">
        <f t="shared" si="36"/>
        <v>4.16838835479119-30.6311037622521j</v>
      </c>
      <c r="BA102" s="86">
        <f t="shared" si="37"/>
        <v>29.802943101546763</v>
      </c>
      <c r="BB102" s="86">
        <f t="shared" si="38"/>
        <v>97.749408812727992</v>
      </c>
      <c r="BD102" s="86" t="str">
        <f t="shared" si="39"/>
        <v>2.26270289094832-22.8109577688428j</v>
      </c>
      <c r="BE102" s="86">
        <f t="shared" si="40"/>
        <v>27.205393463440885</v>
      </c>
      <c r="BF102" s="86">
        <f t="shared" si="41"/>
        <v>95.664848288743229</v>
      </c>
      <c r="BH102" s="86">
        <f t="shared" si="49"/>
        <v>-26.205393463440885</v>
      </c>
      <c r="BI102" s="162">
        <f t="shared" si="50"/>
        <v>-95.664848288743229</v>
      </c>
      <c r="BJ102" s="88"/>
      <c r="BK102" s="88"/>
      <c r="BL102" s="88"/>
      <c r="BM102" s="88"/>
      <c r="BN102" s="42"/>
      <c r="BO102" s="42"/>
      <c r="BP102" s="42"/>
    </row>
    <row r="103" spans="1:68" s="86" customFormat="1">
      <c r="A103" s="86">
        <v>39</v>
      </c>
      <c r="B103" s="86">
        <f t="shared" si="42"/>
        <v>602.55958607435798</v>
      </c>
      <c r="C103" s="86" t="str">
        <f t="shared" si="0"/>
        <v>3785.99353792262j</v>
      </c>
      <c r="D103" s="86">
        <f t="shared" si="1"/>
        <v>0.99999552997162489</v>
      </c>
      <c r="E103" s="86" t="str">
        <f t="shared" si="2"/>
        <v>-0.00332104696309002j</v>
      </c>
      <c r="F103" s="86" t="str">
        <f t="shared" si="3"/>
        <v>0.999995529971625-0.00332104696309002j</v>
      </c>
      <c r="G103" s="86">
        <f t="shared" si="4"/>
        <v>9.0737753222611363E-6</v>
      </c>
      <c r="H103" s="86">
        <f t="shared" si="5"/>
        <v>-0.19028212555232196</v>
      </c>
      <c r="J103" s="86">
        <f t="shared" si="6"/>
        <v>8.3707025411061284</v>
      </c>
      <c r="K103" s="86" t="str">
        <f t="shared" si="7"/>
        <v>1+0.162540815426314j</v>
      </c>
      <c r="L103" s="86">
        <f t="shared" si="8"/>
        <v>0.9983258761915218</v>
      </c>
      <c r="M103" s="86" t="str">
        <f t="shared" si="9"/>
        <v>0.0111505715507412j</v>
      </c>
      <c r="N103" s="86" t="str">
        <f t="shared" si="10"/>
        <v>0.998325876191522+0.0111505715507412j</v>
      </c>
      <c r="O103" s="86" t="str">
        <f t="shared" si="11"/>
        <v>1.00337026485713+0.151606471499595j</v>
      </c>
      <c r="P103" s="86" t="str">
        <f t="shared" si="12"/>
        <v>8.39891402570991+1.26905267622979j</v>
      </c>
      <c r="R103" s="86">
        <f t="shared" si="13"/>
        <v>11.958146487294469</v>
      </c>
      <c r="S103" s="86" t="str">
        <f t="shared" si="14"/>
        <v>1+0.000283949515344196j</v>
      </c>
      <c r="T103" s="86" t="str">
        <f t="shared" si="15"/>
        <v>0.998325876191522+0.0111505715507412j</v>
      </c>
      <c r="U103" s="86" t="str">
        <f t="shared" si="16"/>
        <v>1.00155516141693-0.0109022146311285j</v>
      </c>
      <c r="V103" s="86" t="str">
        <f t="shared" si="17"/>
        <v>11.9767433353295-0.13037027959496j</v>
      </c>
      <c r="X103" s="86" t="str">
        <f t="shared" si="18"/>
        <v>0.347808133896719+0.0513719759910518j</v>
      </c>
      <c r="Y103" s="86">
        <f t="shared" si="19"/>
        <v>-9.0794787651671331</v>
      </c>
      <c r="Z103" s="86">
        <f t="shared" si="20"/>
        <v>-171.59804294663829</v>
      </c>
      <c r="AB103" s="86" t="str">
        <f t="shared" si="21"/>
        <v>5.56992567681605-0.0606302354052808j</v>
      </c>
      <c r="AC103" s="86">
        <f t="shared" si="22"/>
        <v>14.917502565394225</v>
      </c>
      <c r="AD103" s="86">
        <f t="shared" si="23"/>
        <v>179.37634367031279</v>
      </c>
      <c r="AF103" s="86" t="str">
        <f t="shared" si="24"/>
        <v>4.12487347576377-0.202204697919732j</v>
      </c>
      <c r="AG103" s="86">
        <f t="shared" si="25"/>
        <v>12.318636391364864</v>
      </c>
      <c r="AH103" s="86">
        <f t="shared" si="26"/>
        <v>177.19356021738514</v>
      </c>
      <c r="AJ103" s="86" t="str">
        <f t="shared" si="27"/>
        <v>104963.358624411-1961.12259851778j</v>
      </c>
      <c r="AK103" s="86" t="str">
        <f t="shared" si="28"/>
        <v>20000-1.51439741516905E-06j</v>
      </c>
      <c r="AL103" s="86" t="str">
        <f t="shared" si="43"/>
        <v>10000-5869587.99576176j</v>
      </c>
      <c r="AM103" s="86" t="str">
        <f t="shared" si="44"/>
        <v>963.137790445599-1821597.40619851j</v>
      </c>
      <c r="AN103" s="86" t="str">
        <f t="shared" si="45"/>
        <v>10963.1377904456-1821597.40619851j</v>
      </c>
      <c r="AO103" s="86" t="str">
        <f t="shared" si="46"/>
        <v>19996.2685751298-219.524064304856j</v>
      </c>
      <c r="AP103" s="86" t="str">
        <f t="shared" si="47"/>
        <v>0.16000750670637+0.0025110907670576j</v>
      </c>
      <c r="AQ103" s="86" t="str">
        <f t="shared" si="29"/>
        <v>1+0.115851402260432j</v>
      </c>
      <c r="AR103" s="86">
        <f t="shared" si="51"/>
        <v>9.9995613873396825E-8</v>
      </c>
      <c r="AS103" s="86" t="str">
        <f t="shared" si="31"/>
        <v>4.55481524566857E-06j</v>
      </c>
      <c r="AT103" s="86" t="str">
        <f t="shared" si="32"/>
        <v>9.99956138733968E-08+4.55481524566857E-06j</v>
      </c>
      <c r="AU103" s="86" t="str">
        <f t="shared" si="33"/>
        <v>4.53604042563253-32.8325975450478j</v>
      </c>
      <c r="AW103" s="86" t="str">
        <f t="shared" si="48"/>
        <v>0.794442852665134-5.24416420063562j</v>
      </c>
      <c r="AX103" s="86">
        <f t="shared" si="34"/>
        <v>14.492067468879252</v>
      </c>
      <c r="AY103" s="86">
        <f t="shared" si="35"/>
        <v>98.614286628933996</v>
      </c>
      <c r="AZ103" s="86" t="str">
        <f t="shared" si="36"/>
        <v>4.10703273383403-29.257772091733j</v>
      </c>
      <c r="BA103" s="86">
        <f t="shared" si="37"/>
        <v>29.409570034273486</v>
      </c>
      <c r="BB103" s="86">
        <f t="shared" si="38"/>
        <v>97.990630299246774</v>
      </c>
      <c r="BD103" s="86" t="str">
        <f t="shared" si="39"/>
        <v>2.21658161293751-21.7921538907894j</v>
      </c>
      <c r="BE103" s="86">
        <f t="shared" si="40"/>
        <v>26.810703860244107</v>
      </c>
      <c r="BF103" s="86">
        <f t="shared" si="41"/>
        <v>95.807846846319137</v>
      </c>
      <c r="BH103" s="86">
        <f t="shared" si="49"/>
        <v>-25.810703860244107</v>
      </c>
      <c r="BI103" s="162">
        <f t="shared" si="50"/>
        <v>-95.807846846319137</v>
      </c>
      <c r="BJ103" s="88"/>
      <c r="BK103" s="88"/>
      <c r="BL103" s="88"/>
      <c r="BM103" s="88"/>
      <c r="BN103" s="42"/>
      <c r="BO103" s="42"/>
      <c r="BP103" s="42"/>
    </row>
    <row r="104" spans="1:68" s="86" customFormat="1">
      <c r="A104" s="86">
        <v>40</v>
      </c>
      <c r="B104" s="86">
        <f t="shared" si="42"/>
        <v>630.95734448019346</v>
      </c>
      <c r="C104" s="86" t="str">
        <f t="shared" si="0"/>
        <v>3964.421916295j</v>
      </c>
      <c r="D104" s="86">
        <f t="shared" si="1"/>
        <v>0.99999509871135051</v>
      </c>
      <c r="E104" s="86" t="str">
        <f t="shared" si="2"/>
        <v>-0.0034775630844693j</v>
      </c>
      <c r="F104" s="86" t="str">
        <f t="shared" si="3"/>
        <v>0.999995098711351-0.0034775630844693j</v>
      </c>
      <c r="G104" s="86">
        <f t="shared" si="4"/>
        <v>9.9492049786557352E-6</v>
      </c>
      <c r="H104" s="86">
        <f t="shared" si="5"/>
        <v>-0.19924986110457765</v>
      </c>
      <c r="J104" s="86">
        <f t="shared" si="6"/>
        <v>8.3707025411061284</v>
      </c>
      <c r="K104" s="86" t="str">
        <f t="shared" si="7"/>
        <v>1+0.170201128056365j</v>
      </c>
      <c r="L104" s="86">
        <f t="shared" si="8"/>
        <v>0.99816435974635953</v>
      </c>
      <c r="M104" s="86" t="str">
        <f t="shared" si="9"/>
        <v>0.0116760817978653j</v>
      </c>
      <c r="N104" s="86" t="str">
        <f t="shared" si="10"/>
        <v>0.99816435974636+0.0116760817978653j</v>
      </c>
      <c r="O104" s="86" t="str">
        <f t="shared" si="11"/>
        <v>1.00369627577941+0.158773338972374j</v>
      </c>
      <c r="P104" s="86" t="str">
        <f t="shared" si="12"/>
        <v>8.40164296616546+1.32904439199596j</v>
      </c>
      <c r="R104" s="86">
        <f t="shared" si="13"/>
        <v>11.958146487294469</v>
      </c>
      <c r="S104" s="86" t="str">
        <f t="shared" si="14"/>
        <v>1+0.000297331643722125j</v>
      </c>
      <c r="T104" s="86" t="str">
        <f t="shared" si="15"/>
        <v>0.99816435974636+0.0116760817978653j</v>
      </c>
      <c r="U104" s="86" t="str">
        <f t="shared" si="16"/>
        <v>1.00170543433882-0.0114196252688091j</v>
      </c>
      <c r="V104" s="86" t="str">
        <f t="shared" si="17"/>
        <v>11.9785403209425-0.136557551794429j</v>
      </c>
      <c r="X104" s="86" t="str">
        <f t="shared" si="18"/>
        <v>0.347937792000508+0.0538002249119538j</v>
      </c>
      <c r="Y104" s="86">
        <f t="shared" si="19"/>
        <v>-9.0673535012724606</v>
      </c>
      <c r="Z104" s="86">
        <f t="shared" si="20"/>
        <v>-171.21019473672911</v>
      </c>
      <c r="AB104" s="86" t="str">
        <f t="shared" si="21"/>
        <v>5.57076138615927-0.0635076992807579j</v>
      </c>
      <c r="AC104" s="86">
        <f t="shared" si="22"/>
        <v>14.918855522789709</v>
      </c>
      <c r="AD104" s="86">
        <f t="shared" si="23"/>
        <v>179.3468459226853</v>
      </c>
      <c r="AF104" s="86" t="str">
        <f t="shared" si="24"/>
        <v>4.12435225212103-0.211729932757078j</v>
      </c>
      <c r="AG104" s="86">
        <f t="shared" si="25"/>
        <v>12.318545519067568</v>
      </c>
      <c r="AH104" s="86">
        <f t="shared" si="26"/>
        <v>177.0612133539756</v>
      </c>
      <c r="AJ104" s="86" t="str">
        <f t="shared" si="27"/>
        <v>104959.824883188-2053.47832353065j</v>
      </c>
      <c r="AK104" s="86" t="str">
        <f t="shared" si="28"/>
        <v>20000-0.000001585768766518j</v>
      </c>
      <c r="AL104" s="86" t="str">
        <f t="shared" si="43"/>
        <v>10000-5605413.01895291j</v>
      </c>
      <c r="AM104" s="86" t="str">
        <f t="shared" si="44"/>
        <v>963.137662163603-1739612.12190113j</v>
      </c>
      <c r="AN104" s="86" t="str">
        <f t="shared" si="45"/>
        <v>10963.1376621636-1739612.12190113j</v>
      </c>
      <c r="AO104" s="86" t="str">
        <f t="shared" si="46"/>
        <v>19995.9086885086-229.863495363743j</v>
      </c>
      <c r="AP104" s="86" t="str">
        <f t="shared" si="47"/>
        <v>0.160008230932763+0.00262943256188165j</v>
      </c>
      <c r="AQ104" s="86" t="str">
        <f t="shared" si="29"/>
        <v>1+0.121311310638627j</v>
      </c>
      <c r="AR104" s="86">
        <f t="shared" si="51"/>
        <v>9.9995190707814087E-8</v>
      </c>
      <c r="AS104" s="86" t="str">
        <f t="shared" si="31"/>
        <v>4.76947707483703E-06j</v>
      </c>
      <c r="AT104" s="86" t="str">
        <f t="shared" si="32"/>
        <v>9.99951907078141E-08+4.76947707483703E-06j</v>
      </c>
      <c r="AU104" s="86" t="str">
        <f t="shared" si="33"/>
        <v>4.47264283711114-31.3562168095011j</v>
      </c>
      <c r="AW104" s="86" t="str">
        <f t="shared" si="48"/>
        <v>0.784306774357802-5.00765548660953j</v>
      </c>
      <c r="AX104" s="86">
        <f t="shared" si="34"/>
        <v>14.097936973058854</v>
      </c>
      <c r="AY104" s="86">
        <f t="shared" si="35"/>
        <v>98.901438986345468</v>
      </c>
      <c r="AZ104" s="86" t="str">
        <f t="shared" si="36"/>
        <v>4.05116121475034-27.9462633387628j</v>
      </c>
      <c r="BA104" s="86">
        <f t="shared" si="37"/>
        <v>29.016792495848577</v>
      </c>
      <c r="BB104" s="86">
        <f t="shared" si="38"/>
        <v>98.248284909030744</v>
      </c>
      <c r="BD104" s="86" t="str">
        <f t="shared" si="39"/>
        <v>2.17448685172593-20.81939640464j</v>
      </c>
      <c r="BE104" s="86">
        <f t="shared" si="40"/>
        <v>26.416482492126438</v>
      </c>
      <c r="BF104" s="86">
        <f t="shared" si="41"/>
        <v>95.962652340321043</v>
      </c>
      <c r="BH104" s="86">
        <f t="shared" si="49"/>
        <v>-25.416482492126438</v>
      </c>
      <c r="BI104" s="162">
        <f t="shared" si="50"/>
        <v>-95.962652340321043</v>
      </c>
      <c r="BJ104" s="88"/>
      <c r="BK104" s="88"/>
      <c r="BL104" s="88"/>
      <c r="BM104" s="88"/>
      <c r="BN104" s="42"/>
      <c r="BO104" s="42"/>
      <c r="BP104" s="42"/>
    </row>
    <row r="105" spans="1:68" s="86" customFormat="1">
      <c r="A105" s="86">
        <v>41</v>
      </c>
      <c r="B105" s="86">
        <f t="shared" si="42"/>
        <v>660.69344800759632</v>
      </c>
      <c r="C105" s="86" t="str">
        <f t="shared" si="0"/>
        <v>4151.25936507115j</v>
      </c>
      <c r="D105" s="86">
        <f t="shared" si="1"/>
        <v>0.99999462584386289</v>
      </c>
      <c r="E105" s="86" t="str">
        <f t="shared" si="2"/>
        <v>-0.00364145558339575j</v>
      </c>
      <c r="F105" s="86" t="str">
        <f t="shared" si="3"/>
        <v>0.999994625843863-0.00364145558339575j</v>
      </c>
      <c r="G105" s="86">
        <f t="shared" si="4"/>
        <v>1.0909096153925195E-5</v>
      </c>
      <c r="H105" s="86">
        <f t="shared" si="5"/>
        <v>-0.20864023527276776</v>
      </c>
      <c r="J105" s="86">
        <f t="shared" si="6"/>
        <v>8.3707025411061284</v>
      </c>
      <c r="K105" s="86" t="str">
        <f t="shared" si="7"/>
        <v>1+0.178222460098287j</v>
      </c>
      <c r="L105" s="86">
        <f t="shared" si="8"/>
        <v>0.99798726048592046</v>
      </c>
      <c r="M105" s="86" t="str">
        <f t="shared" si="9"/>
        <v>0.0122263585799222j</v>
      </c>
      <c r="N105" s="86" t="str">
        <f t="shared" si="10"/>
        <v>0.99798726048592+0.0122263585799222j</v>
      </c>
      <c r="O105" s="86" t="str">
        <f t="shared" si="11"/>
        <v>1.00405391277727+0.166281217704421j</v>
      </c>
      <c r="P105" s="86" t="str">
        <f t="shared" si="12"/>
        <v>8.40463663909225+1.39189061157662j</v>
      </c>
      <c r="R105" s="86">
        <f t="shared" si="13"/>
        <v>11.958146487294469</v>
      </c>
      <c r="S105" s="86" t="str">
        <f t="shared" si="14"/>
        <v>1+0.000311344452380336j</v>
      </c>
      <c r="T105" s="86" t="str">
        <f t="shared" si="15"/>
        <v>0.99798726048592+0.0122263585799222j</v>
      </c>
      <c r="U105" s="86" t="str">
        <f t="shared" si="16"/>
        <v>1.00187025267225-0.0119619568104861j</v>
      </c>
      <c r="V105" s="86" t="str">
        <f t="shared" si="17"/>
        <v>11.9805112427175-0.143042831814482j</v>
      </c>
      <c r="X105" s="86" t="str">
        <f t="shared" si="18"/>
        <v>0.348080024494788+0.0563439767881043j</v>
      </c>
      <c r="Y105" s="86">
        <f t="shared" si="19"/>
        <v>-9.0540888159998421</v>
      </c>
      <c r="Z105" s="86">
        <f t="shared" si="20"/>
        <v>-170.80524273243864</v>
      </c>
      <c r="AB105" s="86" t="str">
        <f t="shared" si="21"/>
        <v>5.57167798656509-0.0665237552062848j</v>
      </c>
      <c r="AC105" s="86">
        <f t="shared" si="22"/>
        <v>14.920339234202959</v>
      </c>
      <c r="AD105" s="86">
        <f t="shared" si="23"/>
        <v>179.3159422855756</v>
      </c>
      <c r="AF105" s="86" t="str">
        <f t="shared" si="24"/>
        <v>4.12378066063423-0.221703423830718j</v>
      </c>
      <c r="AG105" s="86">
        <f t="shared" si="25"/>
        <v>12.318445769916371</v>
      </c>
      <c r="AH105" s="86">
        <f t="shared" si="26"/>
        <v>176.92261683281828</v>
      </c>
      <c r="AJ105" s="86" t="str">
        <f t="shared" si="27"/>
        <v>104955.950486454-2150.17640267969j</v>
      </c>
      <c r="AK105" s="86" t="str">
        <f t="shared" si="28"/>
        <v>20000-1.66050374602846E-06j</v>
      </c>
      <c r="AL105" s="86" t="str">
        <f t="shared" si="43"/>
        <v>10000-5353127.87468805j</v>
      </c>
      <c r="AM105" s="86" t="str">
        <f t="shared" si="44"/>
        <v>963.137521505237-1661316.78814812j</v>
      </c>
      <c r="AN105" s="86" t="str">
        <f t="shared" si="45"/>
        <v>10963.1375215052-1661316.78814812j</v>
      </c>
      <c r="AO105" s="86" t="str">
        <f t="shared" si="46"/>
        <v>19995.5141038307-240.689258178119j</v>
      </c>
      <c r="AP105" s="86" t="str">
        <f t="shared" si="47"/>
        <v>0.160009025029777+0.00275335129780233j</v>
      </c>
      <c r="AQ105" s="86" t="str">
        <f t="shared" si="29"/>
        <v>1+0.127028536571177j</v>
      </c>
      <c r="AR105" s="86">
        <f t="shared" si="51"/>
        <v>9.999472671597927E-8</v>
      </c>
      <c r="AS105" s="86" t="str">
        <f t="shared" si="31"/>
        <v>4.99425560433615E-06j</v>
      </c>
      <c r="AT105" s="86" t="str">
        <f t="shared" si="32"/>
        <v>9.99947267159793E-08+4.99425560433615E-06j</v>
      </c>
      <c r="AU105" s="86" t="str">
        <f t="shared" si="33"/>
        <v>4.41481886238787-29.9461127429089j</v>
      </c>
      <c r="AW105" s="86" t="str">
        <f t="shared" si="48"/>
        <v>0.775062664816169-4.78173124470754j</v>
      </c>
      <c r="AX105" s="86">
        <f t="shared" si="34"/>
        <v>13.70433066771362</v>
      </c>
      <c r="AY105" s="86">
        <f t="shared" si="35"/>
        <v>99.206902661220965</v>
      </c>
      <c r="AZ105" s="86" t="str">
        <f t="shared" si="36"/>
        <v>4.00030086897956-26.6938267927913j</v>
      </c>
      <c r="BA105" s="86">
        <f t="shared" si="37"/>
        <v>28.624669901916597</v>
      </c>
      <c r="BB105" s="86">
        <f t="shared" si="38"/>
        <v>98.522844946796553</v>
      </c>
      <c r="BD105" s="86" t="str">
        <f t="shared" si="39"/>
        <v>2.13606223915856-19.8906448777485j</v>
      </c>
      <c r="BE105" s="86">
        <f t="shared" si="40"/>
        <v>26.022776437629989</v>
      </c>
      <c r="BF105" s="86">
        <f t="shared" si="41"/>
        <v>96.129519494039229</v>
      </c>
      <c r="BH105" s="86">
        <f t="shared" si="49"/>
        <v>-25.022776437629989</v>
      </c>
      <c r="BI105" s="162">
        <f t="shared" si="50"/>
        <v>-96.129519494039229</v>
      </c>
      <c r="BJ105" s="88"/>
      <c r="BK105" s="88"/>
      <c r="BL105" s="88"/>
      <c r="BM105" s="88"/>
      <c r="BN105" s="42"/>
      <c r="BO105" s="42"/>
      <c r="BP105" s="42"/>
    </row>
    <row r="106" spans="1:68" s="86" customFormat="1">
      <c r="A106" s="86">
        <v>42</v>
      </c>
      <c r="B106" s="86">
        <f t="shared" si="42"/>
        <v>691.83097091893671</v>
      </c>
      <c r="C106" s="86" t="str">
        <f t="shared" si="0"/>
        <v>4346.90219152965j</v>
      </c>
      <c r="D106" s="86">
        <f t="shared" si="1"/>
        <v>0.99999410735497296</v>
      </c>
      <c r="E106" s="86" t="str">
        <f t="shared" si="2"/>
        <v>-0.00381307209783303j</v>
      </c>
      <c r="F106" s="86" t="str">
        <f t="shared" si="3"/>
        <v>0.999994107354973-0.00381307209783303j</v>
      </c>
      <c r="G106" s="86">
        <f t="shared" si="4"/>
        <v>1.1961597892820971E-5</v>
      </c>
      <c r="H106" s="86">
        <f t="shared" si="5"/>
        <v>-0.2184731667360397</v>
      </c>
      <c r="J106" s="86">
        <f t="shared" si="6"/>
        <v>8.3707025411061284</v>
      </c>
      <c r="K106" s="86" t="str">
        <f t="shared" si="7"/>
        <v>1+0.186621825872778j</v>
      </c>
      <c r="L106" s="86">
        <f t="shared" si="8"/>
        <v>0.99779307500829595</v>
      </c>
      <c r="M106" s="86" t="str">
        <f t="shared" si="9"/>
        <v>0.0128025691077436j</v>
      </c>
      <c r="N106" s="86" t="str">
        <f t="shared" si="10"/>
        <v>0.997793075008296+0.0128025691077436j</v>
      </c>
      <c r="O106" s="86" t="str">
        <f t="shared" si="11"/>
        <v>1.00444626223159+0.174146661805704j</v>
      </c>
      <c r="P106" s="86" t="str">
        <f t="shared" si="12"/>
        <v>8.40792087966652+1.45772990450216j</v>
      </c>
      <c r="R106" s="86">
        <f t="shared" si="13"/>
        <v>11.958146487294469</v>
      </c>
      <c r="S106" s="86" t="str">
        <f t="shared" si="14"/>
        <v>1+0.000326017664364724j</v>
      </c>
      <c r="T106" s="86" t="str">
        <f t="shared" si="15"/>
        <v>0.997793075008296+0.0128025691077436j</v>
      </c>
      <c r="U106" s="86" t="str">
        <f t="shared" si="16"/>
        <v>1.00205102933236-0.012530463681605j</v>
      </c>
      <c r="V106" s="86" t="str">
        <f t="shared" si="17"/>
        <v>11.9826729965006-0.149841120258356j</v>
      </c>
      <c r="X106" s="86" t="str">
        <f t="shared" si="18"/>
        <v>0.348236057773475+0.0590088331258707j</v>
      </c>
      <c r="Y106" s="86">
        <f t="shared" si="19"/>
        <v>-9.0395807295153556</v>
      </c>
      <c r="Z106" s="86">
        <f t="shared" si="20"/>
        <v>-170.38254771964981</v>
      </c>
      <c r="AB106" s="86" t="str">
        <f t="shared" si="21"/>
        <v>5.57268333564592-0.0696853793892325j</v>
      </c>
      <c r="AC106" s="86">
        <f t="shared" si="22"/>
        <v>14.921966359752732</v>
      </c>
      <c r="AD106" s="86">
        <f t="shared" si="23"/>
        <v>179.28356416477104</v>
      </c>
      <c r="AF106" s="86" t="str">
        <f t="shared" si="24"/>
        <v>4.1231538255554-0.232146198456231j</v>
      </c>
      <c r="AG106" s="86">
        <f t="shared" si="25"/>
        <v>12.318336265317438</v>
      </c>
      <c r="AH106" s="86">
        <f t="shared" si="26"/>
        <v>176.77747429283977</v>
      </c>
      <c r="AJ106" s="86" t="str">
        <f t="shared" si="27"/>
        <v>104951.702623656-2251.41996959863j</v>
      </c>
      <c r="AK106" s="86" t="str">
        <f t="shared" si="28"/>
        <v>20000-1.73876087661186E-06j</v>
      </c>
      <c r="AL106" s="86" t="str">
        <f t="shared" si="43"/>
        <v>10000-5112197.43235179j</v>
      </c>
      <c r="AM106" s="86" t="str">
        <f t="shared" si="44"/>
        <v>963.137367276443-1586545.33003936j</v>
      </c>
      <c r="AN106" s="86" t="str">
        <f t="shared" si="45"/>
        <v>10963.1373672764-1586545.33003936j</v>
      </c>
      <c r="AO106" s="86" t="str">
        <f t="shared" si="46"/>
        <v>19995.0814781708-252.024132131935j</v>
      </c>
      <c r="AP106" s="86" t="str">
        <f t="shared" si="47"/>
        <v>0.160009895738113+0.00288310975819737j</v>
      </c>
      <c r="AQ106" s="86" t="str">
        <f t="shared" si="29"/>
        <v>1+0.133015207060807j</v>
      </c>
      <c r="AR106" s="86">
        <f t="shared" si="51"/>
        <v>9.9994217959049198E-8</v>
      </c>
      <c r="AS106" s="86" t="str">
        <f t="shared" si="31"/>
        <v>5.22962761956358E-06j</v>
      </c>
      <c r="AT106" s="86" t="str">
        <f t="shared" si="32"/>
        <v>9.99942179590492E-08+5.22962761956358E-06j</v>
      </c>
      <c r="AU106" s="86" t="str">
        <f t="shared" si="33"/>
        <v>4.36207887189942-28.5993245054434j</v>
      </c>
      <c r="AW106" s="86" t="str">
        <f t="shared" si="48"/>
        <v>0.766632248838134-4.56591708733006j</v>
      </c>
      <c r="AX106" s="86">
        <f t="shared" si="34"/>
        <v>13.311300493886256</v>
      </c>
      <c r="AY106" s="86">
        <f t="shared" si="35"/>
        <v>99.531243621515145</v>
      </c>
      <c r="AZ106" s="86" t="str">
        <f t="shared" si="36"/>
        <v>3.95402109317865-25.4978331236175j</v>
      </c>
      <c r="BA106" s="86">
        <f t="shared" si="37"/>
        <v>28.233266853638991</v>
      </c>
      <c r="BB106" s="86">
        <f t="shared" si="38"/>
        <v>98.814807786286195</v>
      </c>
      <c r="BD106" s="86" t="str">
        <f t="shared" si="39"/>
        <v>2.10098239530107-19.0039492679754j</v>
      </c>
      <c r="BE106" s="86">
        <f t="shared" si="40"/>
        <v>25.629636759203681</v>
      </c>
      <c r="BF106" s="86">
        <f t="shared" si="41"/>
        <v>96.308717914354929</v>
      </c>
      <c r="BH106" s="86">
        <f t="shared" si="49"/>
        <v>-24.629636759203681</v>
      </c>
      <c r="BI106" s="162">
        <f t="shared" si="50"/>
        <v>-96.308717914354929</v>
      </c>
      <c r="BJ106" s="88"/>
      <c r="BK106" s="88"/>
      <c r="BL106" s="88"/>
      <c r="BM106" s="88"/>
      <c r="BN106" s="42"/>
      <c r="BO106" s="42"/>
      <c r="BP106" s="42"/>
    </row>
    <row r="107" spans="1:68" s="86" customFormat="1">
      <c r="A107" s="86">
        <v>43</v>
      </c>
      <c r="B107" s="86">
        <f t="shared" si="42"/>
        <v>724.43596007499025</v>
      </c>
      <c r="C107" s="86" t="str">
        <f t="shared" si="0"/>
        <v>4551.76538033572j</v>
      </c>
      <c r="D107" s="86">
        <f t="shared" si="1"/>
        <v>0.99999353884321018</v>
      </c>
      <c r="E107" s="86" t="str">
        <f t="shared" si="2"/>
        <v>-0.0039927766494173j</v>
      </c>
      <c r="F107" s="86" t="str">
        <f t="shared" si="3"/>
        <v>0.99999353884321-0.0039927766494173j</v>
      </c>
      <c r="G107" s="86">
        <f t="shared" si="4"/>
        <v>1.311564548691792E-5</v>
      </c>
      <c r="H107" s="86">
        <f t="shared" si="5"/>
        <v>-0.22876951296157447</v>
      </c>
      <c r="J107" s="86">
        <f t="shared" si="6"/>
        <v>8.3707025411061284</v>
      </c>
      <c r="K107" s="86" t="str">
        <f t="shared" si="7"/>
        <v>1+0.19541704156077j</v>
      </c>
      <c r="L107" s="86">
        <f t="shared" si="8"/>
        <v>0.99758015486607299</v>
      </c>
      <c r="M107" s="86" t="str">
        <f t="shared" si="9"/>
        <v>0.0134059356011128j</v>
      </c>
      <c r="N107" s="86" t="str">
        <f t="shared" si="10"/>
        <v>0.997580154866073+0.0134059356011128j</v>
      </c>
      <c r="O107" s="86" t="str">
        <f t="shared" si="11"/>
        <v>1.00487671544562+0.182387077508448j</v>
      </c>
      <c r="P107" s="86" t="str">
        <f t="shared" si="12"/>
        <v>8.41152407547903+1.52670797316489j</v>
      </c>
      <c r="R107" s="86">
        <f t="shared" si="13"/>
        <v>11.958146487294469</v>
      </c>
      <c r="S107" s="86" t="str">
        <f t="shared" si="14"/>
        <v>1+0.000341382403525179j</v>
      </c>
      <c r="T107" s="86" t="str">
        <f t="shared" si="15"/>
        <v>0.997580154866073+0.0134059356011128j</v>
      </c>
      <c r="U107" s="86" t="str">
        <f t="shared" si="16"/>
        <v>1.00224931549878-0.013126471404264j</v>
      </c>
      <c r="V107" s="86" t="str">
        <f t="shared" si="17"/>
        <v>11.985044131525-0.156968267913471j</v>
      </c>
      <c r="X107" s="86" t="str">
        <f t="shared" si="18"/>
        <v>0.348407239244477+0.0618006829676369j</v>
      </c>
      <c r="Y107" s="86">
        <f t="shared" si="19"/>
        <v>-9.0237163722210809</v>
      </c>
      <c r="Z107" s="86">
        <f t="shared" si="20"/>
        <v>-169.94146329160603</v>
      </c>
      <c r="AB107" s="86" t="str">
        <f t="shared" si="21"/>
        <v>5.57378605994131-0.0729999434251489j</v>
      </c>
      <c r="AC107" s="86">
        <f t="shared" si="22"/>
        <v>14.923750790151422</v>
      </c>
      <c r="AD107" s="86">
        <f t="shared" si="23"/>
        <v>179.24963938448599</v>
      </c>
      <c r="AF107" s="86" t="str">
        <f t="shared" si="24"/>
        <v>4.12246639744541-0.243080259997759j</v>
      </c>
      <c r="AG107" s="86">
        <f t="shared" si="25"/>
        <v>12.318216037430243</v>
      </c>
      <c r="AH107" s="86">
        <f t="shared" si="26"/>
        <v>176.62547513693616</v>
      </c>
      <c r="AJ107" s="86" t="str">
        <f t="shared" si="27"/>
        <v>104947.045329907-2357.42150720541j</v>
      </c>
      <c r="AK107" s="86" t="str">
        <f t="shared" si="28"/>
        <v>20000-1.82070615213429E-06j</v>
      </c>
      <c r="AL107" s="86" t="str">
        <f t="shared" si="43"/>
        <v>10000-4882110.64617378j</v>
      </c>
      <c r="AM107" s="86" t="str">
        <f t="shared" si="44"/>
        <v>963.137198167998-1515139.14728741j</v>
      </c>
      <c r="AN107" s="86" t="str">
        <f t="shared" si="45"/>
        <v>10963.137198168-1515139.14728741j</v>
      </c>
      <c r="AO107" s="86" t="str">
        <f t="shared" si="46"/>
        <v>19994.6071470306-263.891949348409j</v>
      </c>
      <c r="AP107" s="86" t="str">
        <f t="shared" si="47"/>
        <v>0.160010850448743+0.00301898310367194j</v>
      </c>
      <c r="AQ107" s="86" t="str">
        <f t="shared" si="29"/>
        <v>1+0.139284020638273j</v>
      </c>
      <c r="AR107" s="86">
        <f t="shared" si="51"/>
        <v>9.9993660118168242E-8</v>
      </c>
      <c r="AS107" s="86" t="str">
        <f t="shared" si="31"/>
        <v>5.47609237612049E-06j</v>
      </c>
      <c r="AT107" s="86" t="str">
        <f t="shared" si="32"/>
        <v>9.99936601181682E-08+5.47609237612049E-06j</v>
      </c>
      <c r="AU107" s="86" t="str">
        <f t="shared" si="33"/>
        <v>4.31397618570988-27.3130216692015j</v>
      </c>
      <c r="AW107" s="86" t="str">
        <f t="shared" si="48"/>
        <v>0.758944125344484-4.35975944967964j</v>
      </c>
      <c r="AX107" s="86">
        <f t="shared" si="34"/>
        <v>12.918902822705597</v>
      </c>
      <c r="AY107" s="86">
        <f t="shared" si="35"/>
        <v>99.875056040711598</v>
      </c>
      <c r="AZ107" s="86" t="str">
        <f t="shared" si="36"/>
        <v>3.91192999294557-24.3557693235348j</v>
      </c>
      <c r="BA107" s="86">
        <f t="shared" si="37"/>
        <v>27.842653612857031</v>
      </c>
      <c r="BB107" s="86">
        <f t="shared" si="38"/>
        <v>99.124695425197586</v>
      </c>
      <c r="BD107" s="86" t="str">
        <f t="shared" si="39"/>
        <v>2.06895019371542-18.1574461675619j</v>
      </c>
      <c r="BE107" s="86">
        <f t="shared" si="40"/>
        <v>25.237118860135833</v>
      </c>
      <c r="BF107" s="86">
        <f t="shared" si="41"/>
        <v>96.500531177647758</v>
      </c>
      <c r="BH107" s="86">
        <f t="shared" si="49"/>
        <v>-24.237118860135833</v>
      </c>
      <c r="BI107" s="162">
        <f t="shared" si="50"/>
        <v>-96.500531177647758</v>
      </c>
      <c r="BJ107" s="88"/>
      <c r="BK107" s="88"/>
      <c r="BL107" s="88"/>
      <c r="BM107" s="88"/>
      <c r="BN107" s="42"/>
      <c r="BO107" s="42"/>
      <c r="BP107" s="42"/>
    </row>
    <row r="108" spans="1:68" s="86" customFormat="1">
      <c r="A108" s="86">
        <v>44</v>
      </c>
      <c r="B108" s="86">
        <f t="shared" si="42"/>
        <v>758.57757502918378</v>
      </c>
      <c r="C108" s="86" t="str">
        <f t="shared" si="0"/>
        <v>4766.28347377929j</v>
      </c>
      <c r="D108" s="86">
        <f t="shared" si="1"/>
        <v>0.99999291548245817</v>
      </c>
      <c r="E108" s="86" t="str">
        <f t="shared" si="2"/>
        <v>-0.00418095041559587j</v>
      </c>
      <c r="F108" s="86" t="str">
        <f t="shared" si="3"/>
        <v>0.999992915482458-0.00418095041559587j</v>
      </c>
      <c r="G108" s="86">
        <f t="shared" si="4"/>
        <v>1.4381036390653671E-5</v>
      </c>
      <c r="H108" s="86">
        <f t="shared" si="5"/>
        <v>-0.23955111445564936</v>
      </c>
      <c r="J108" s="86">
        <f t="shared" si="6"/>
        <v>8.3707025411061284</v>
      </c>
      <c r="K108" s="86" t="str">
        <f t="shared" si="7"/>
        <v>1+0.204626762993932j</v>
      </c>
      <c r="L108" s="86">
        <f t="shared" si="8"/>
        <v>0.99734669257260589</v>
      </c>
      <c r="M108" s="86" t="str">
        <f t="shared" si="9"/>
        <v>0.0140377378812571j</v>
      </c>
      <c r="N108" s="86" t="str">
        <f t="shared" si="10"/>
        <v>0.997346692572606+0.0140377378812571j</v>
      </c>
      <c r="O108" s="86" t="str">
        <f t="shared" si="11"/>
        <v>1.00534899952423+0.191020774098128j</v>
      </c>
      <c r="P108" s="86" t="str">
        <f t="shared" si="12"/>
        <v>8.41547742501598+1.59897807914726j</v>
      </c>
      <c r="R108" s="86">
        <f t="shared" si="13"/>
        <v>11.958146487294469</v>
      </c>
      <c r="S108" s="86" t="str">
        <f t="shared" si="14"/>
        <v>1+0.000357471260533447j</v>
      </c>
      <c r="T108" s="86" t="str">
        <f t="shared" si="15"/>
        <v>0.997346692572606+0.0140377378812571j</v>
      </c>
      <c r="U108" s="86" t="str">
        <f t="shared" si="16"/>
        <v>1.00246681435162-0.0137513817573471j</v>
      </c>
      <c r="V108" s="86" t="str">
        <f t="shared" si="17"/>
        <v>11.9876450146681-0.164441037457065j</v>
      </c>
      <c r="X108" s="86" t="str">
        <f t="shared" si="18"/>
        <v>0.348595049554806+0.0647257199660413j</v>
      </c>
      <c r="Y108" s="86">
        <f t="shared" si="19"/>
        <v>-9.0063733395137149</v>
      </c>
      <c r="Z108" s="86">
        <f t="shared" si="20"/>
        <v>-169.48133847247917</v>
      </c>
      <c r="AB108" s="86" t="str">
        <f t="shared" si="21"/>
        <v>5.57499563130771-0.0764752429946916j</v>
      </c>
      <c r="AC108" s="86">
        <f t="shared" si="22"/>
        <v>14.925707767292558</v>
      </c>
      <c r="AD108" s="86">
        <f t="shared" si="23"/>
        <v>179.21409196620067</v>
      </c>
      <c r="AF108" s="86" t="str">
        <f t="shared" si="24"/>
        <v>4.1217125068144-0.25452863155964j</v>
      </c>
      <c r="AG108" s="86">
        <f t="shared" si="25"/>
        <v>12.318084019652179</v>
      </c>
      <c r="AH108" s="86">
        <f t="shared" si="26"/>
        <v>176.46629382152207</v>
      </c>
      <c r="AJ108" s="86" t="str">
        <f t="shared" si="27"/>
        <v>104941.939183917-2468.40325521476j</v>
      </c>
      <c r="AK108" s="86" t="str">
        <f t="shared" si="28"/>
        <v>20000-1.90651338951172E-06j</v>
      </c>
      <c r="AL108" s="86" t="str">
        <f t="shared" si="43"/>
        <v>10000-4662379.47123228j</v>
      </c>
      <c r="AM108" s="86" t="str">
        <f t="shared" si="44"/>
        <v>963.137012744341-1446946.77780506j</v>
      </c>
      <c r="AN108" s="86" t="str">
        <f t="shared" si="45"/>
        <v>10963.1370127443-1446946.77780506j</v>
      </c>
      <c r="AO108" s="86" t="str">
        <f t="shared" si="46"/>
        <v>19994.0870935041-276.317641227013j</v>
      </c>
      <c r="AP108" s="86" t="str">
        <f t="shared" si="47"/>
        <v>0.160011897265637+0.00316125945428725j</v>
      </c>
      <c r="AQ108" s="86" t="str">
        <f t="shared" si="29"/>
        <v>1+0.145848274297646j</v>
      </c>
      <c r="AR108" s="86">
        <f t="shared" si="51"/>
        <v>9.999304845780535E-8</v>
      </c>
      <c r="AS108" s="86" t="str">
        <f t="shared" si="31"/>
        <v>5.73417265879965E-06j</v>
      </c>
      <c r="AT108" s="86" t="str">
        <f t="shared" si="32"/>
        <v>9.99930484578053E-08+5.73417265879965E-06j</v>
      </c>
      <c r="AU108" s="86" t="str">
        <f t="shared" si="33"/>
        <v>4.27010331666845-26.0844987153643j</v>
      </c>
      <c r="AW108" s="86" t="str">
        <f t="shared" si="48"/>
        <v>0.751933166857123-4.16282470781965j</v>
      </c>
      <c r="AX108" s="86">
        <f t="shared" si="34"/>
        <v>12.527198844028613</v>
      </c>
      <c r="AY108" s="86">
        <f t="shared" si="35"/>
        <v>100.23896192240331</v>
      </c>
      <c r="AZ108" s="86" t="str">
        <f t="shared" si="36"/>
        <v>3.87367108918902-23.2652338316455j</v>
      </c>
      <c r="BA108" s="86">
        <f t="shared" si="37"/>
        <v>27.452906611321168</v>
      </c>
      <c r="BB108" s="86">
        <f t="shared" si="38"/>
        <v>99.453053888603989</v>
      </c>
      <c r="BD108" s="86" t="str">
        <f t="shared" si="39"/>
        <v>2.03969426181957-17.3493551818807j</v>
      </c>
      <c r="BE108" s="86">
        <f t="shared" si="40"/>
        <v>24.84528286368079</v>
      </c>
      <c r="BF108" s="86">
        <f t="shared" si="41"/>
        <v>96.705255743925392</v>
      </c>
      <c r="BH108" s="86">
        <f t="shared" si="49"/>
        <v>-23.84528286368079</v>
      </c>
      <c r="BI108" s="162">
        <f t="shared" si="50"/>
        <v>-96.705255743925392</v>
      </c>
      <c r="BJ108" s="88"/>
      <c r="BK108" s="88"/>
      <c r="BL108" s="88"/>
      <c r="BM108" s="88"/>
      <c r="BN108" s="42"/>
      <c r="BO108" s="42"/>
      <c r="BP108" s="42"/>
    </row>
    <row r="109" spans="1:68" s="86" customFormat="1">
      <c r="A109" s="86">
        <v>45</v>
      </c>
      <c r="B109" s="86">
        <f t="shared" si="42"/>
        <v>794.32823472428174</v>
      </c>
      <c r="C109" s="86" t="str">
        <f t="shared" si="0"/>
        <v>4990.91149349751j</v>
      </c>
      <c r="D109" s="86">
        <f t="shared" si="1"/>
        <v>0.99999223198098519</v>
      </c>
      <c r="E109" s="86" t="str">
        <f t="shared" si="2"/>
        <v>-0.00437799253815571j</v>
      </c>
      <c r="F109" s="86" t="str">
        <f t="shared" si="3"/>
        <v>0.999992231980985-0.00437799253815571j</v>
      </c>
      <c r="G109" s="86">
        <f t="shared" si="4"/>
        <v>1.5768513379142785E-5</v>
      </c>
      <c r="H109" s="86">
        <f t="shared" si="5"/>
        <v>-0.25084084110128302</v>
      </c>
      <c r="J109" s="86">
        <f t="shared" si="6"/>
        <v>8.3707025411061284</v>
      </c>
      <c r="K109" s="86" t="str">
        <f t="shared" si="7"/>
        <v>1+0.214270525226191j</v>
      </c>
      <c r="L109" s="86">
        <f t="shared" si="8"/>
        <v>0.99709070625819751</v>
      </c>
      <c r="M109" s="86" t="str">
        <f t="shared" si="9"/>
        <v>0.0146993160855199j</v>
      </c>
      <c r="N109" s="86" t="str">
        <f t="shared" si="10"/>
        <v>0.997090706258198+0.0146993160855199j</v>
      </c>
      <c r="O109" s="86" t="str">
        <f t="shared" si="11"/>
        <v>1.00586721153225+0.200067018869757j</v>
      </c>
      <c r="P109" s="86" t="str">
        <f t="shared" si="12"/>
        <v>8.41981522358834+1.6747015032446j</v>
      </c>
      <c r="R109" s="86">
        <f t="shared" si="13"/>
        <v>11.958146487294469</v>
      </c>
      <c r="S109" s="86" t="str">
        <f t="shared" si="14"/>
        <v>1+0.000374318362012313j</v>
      </c>
      <c r="T109" s="86" t="str">
        <f t="shared" si="15"/>
        <v>0.997090706258198+0.0146993160855199j</v>
      </c>
      <c r="U109" s="86" t="str">
        <f t="shared" si="16"/>
        <v>1.00270539621369-0.0144066784570645j</v>
      </c>
      <c r="V109" s="86" t="str">
        <f t="shared" si="17"/>
        <v>11.9904980115239-0.172277171384927j</v>
      </c>
      <c r="X109" s="86" t="str">
        <f t="shared" si="18"/>
        <v>0.348801116108002+0.0677904607939037j</v>
      </c>
      <c r="Y109" s="86">
        <f t="shared" si="19"/>
        <v>-8.9874190217557732</v>
      </c>
      <c r="Z109" s="86">
        <f t="shared" si="20"/>
        <v>-169.00152080094853</v>
      </c>
      <c r="AB109" s="86" t="str">
        <f t="shared" si="21"/>
        <v>5.57632245112827-0.0801195294546858j</v>
      </c>
      <c r="AC109" s="86">
        <f t="shared" si="22"/>
        <v>14.92785401685145</v>
      </c>
      <c r="AD109" s="86">
        <f t="shared" si="23"/>
        <v>179.17684188913927</v>
      </c>
      <c r="AF109" s="86" t="str">
        <f t="shared" si="24"/>
        <v>4.12088571315775-0.26651540137062j</v>
      </c>
      <c r="AG109" s="86">
        <f t="shared" si="25"/>
        <v>12.317939036001313</v>
      </c>
      <c r="AH109" s="86">
        <f t="shared" si="26"/>
        <v>176.29958910682433</v>
      </c>
      <c r="AJ109" s="86" t="str">
        <f t="shared" si="27"/>
        <v>104936.340977234-2584.59763197679j</v>
      </c>
      <c r="AK109" s="86" t="str">
        <f t="shared" si="28"/>
        <v>20000-0.000001996364597399j</v>
      </c>
      <c r="AL109" s="86" t="str">
        <f t="shared" si="43"/>
        <v>10000-4452537.82824536j</v>
      </c>
      <c r="AM109" s="86" t="str">
        <f t="shared" si="44"/>
        <v>963.136809431429-1381823.57643391j</v>
      </c>
      <c r="AN109" s="86" t="str">
        <f t="shared" si="45"/>
        <v>10963.1368094314-1381823.57643391j</v>
      </c>
      <c r="AO109" s="86" t="str">
        <f t="shared" si="46"/>
        <v>19993.516914509-289.327286719776j</v>
      </c>
      <c r="AP109" s="86" t="str">
        <f t="shared" si="47"/>
        <v>0.16001304507454+0.00331024049906737j</v>
      </c>
      <c r="AQ109" s="86" t="str">
        <f t="shared" si="29"/>
        <v>1+0.152721891701024j</v>
      </c>
      <c r="AR109" s="86">
        <f t="shared" si="51"/>
        <v>9.9992377785554003E-8</v>
      </c>
      <c r="AS109" s="86" t="str">
        <f t="shared" si="31"/>
        <v>6.00441589048205E-06j</v>
      </c>
      <c r="AT109" s="86" t="str">
        <f t="shared" si="32"/>
        <v>9.9992377785554E-08+6.00441589048205E-06j</v>
      </c>
      <c r="AU109" s="86" t="str">
        <f t="shared" si="33"/>
        <v>4.23008854039003-24.9111697318812j</v>
      </c>
      <c r="AW109" s="86" t="str">
        <f t="shared" si="48"/>
        <v>0.745539971292592-3.97469832872729j</v>
      </c>
      <c r="AX109" s="86">
        <f t="shared" si="34"/>
        <v>12.136254978872813</v>
      </c>
      <c r="AY109" s="86">
        <f t="shared" si="35"/>
        <v>100.62361056553172</v>
      </c>
      <c r="AZ109" s="86" t="str">
        <f t="shared" si="36"/>
        <v>3.83892032031045-22.2239318386336j</v>
      </c>
      <c r="BA109" s="86">
        <f t="shared" si="37"/>
        <v>27.064108995724254</v>
      </c>
      <c r="BB109" s="86">
        <f t="shared" si="38"/>
        <v>99.800452454671017</v>
      </c>
      <c r="BD109" s="86" t="str">
        <f t="shared" si="39"/>
        <v>2.01296669587979-16.5779754416511j</v>
      </c>
      <c r="BE109" s="86">
        <f t="shared" si="40"/>
        <v>24.454194014874094</v>
      </c>
      <c r="BF109" s="86">
        <f t="shared" si="41"/>
        <v>96.923199672356063</v>
      </c>
      <c r="BH109" s="86">
        <f t="shared" si="49"/>
        <v>-23.454194014874094</v>
      </c>
      <c r="BI109" s="162">
        <f t="shared" si="50"/>
        <v>-96.923199672356063</v>
      </c>
      <c r="BJ109" s="88"/>
      <c r="BK109" s="88"/>
      <c r="BL109" s="88"/>
      <c r="BM109" s="88"/>
      <c r="BN109" s="42"/>
      <c r="BO109" s="42"/>
      <c r="BP109" s="42"/>
    </row>
    <row r="110" spans="1:68" s="86" customFormat="1">
      <c r="A110" s="86">
        <v>46</v>
      </c>
      <c r="B110" s="86">
        <f t="shared" si="42"/>
        <v>831.76377110267106</v>
      </c>
      <c r="C110" s="86" t="str">
        <f t="shared" si="0"/>
        <v>5226.12590563659j</v>
      </c>
      <c r="D110" s="86">
        <f t="shared" si="1"/>
        <v>0.99999148253652304</v>
      </c>
      <c r="E110" s="86" t="str">
        <f t="shared" si="2"/>
        <v>-0.00458432096985666j</v>
      </c>
      <c r="F110" s="86" t="str">
        <f t="shared" si="3"/>
        <v>0.999991482536523-0.00458432096985666j</v>
      </c>
      <c r="G110" s="86">
        <f t="shared" si="4"/>
        <v>1.7289855802093918E-5</v>
      </c>
      <c r="H110" s="86">
        <f t="shared" si="5"/>
        <v>-0.26266264068095213</v>
      </c>
      <c r="J110" s="86">
        <f t="shared" si="6"/>
        <v>8.3707025411061284</v>
      </c>
      <c r="K110" s="86" t="str">
        <f t="shared" si="7"/>
        <v>1+0.224368783970205j</v>
      </c>
      <c r="L110" s="86">
        <f t="shared" si="8"/>
        <v>0.99681002284593778</v>
      </c>
      <c r="M110" s="86" t="str">
        <f t="shared" si="9"/>
        <v>0.0153920735099717j</v>
      </c>
      <c r="N110" s="86" t="str">
        <f t="shared" si="10"/>
        <v>0.996810022845938+0.0153920735099717j</v>
      </c>
      <c r="O110" s="86" t="str">
        <f t="shared" si="11"/>
        <v>1.00643585631045+0.209546096547513j</v>
      </c>
      <c r="P110" s="86" t="str">
        <f t="shared" si="12"/>
        <v>8.42457517987821+1.75404804284914j</v>
      </c>
      <c r="R110" s="86">
        <f t="shared" si="13"/>
        <v>11.958146487294469</v>
      </c>
      <c r="S110" s="86" t="str">
        <f t="shared" si="14"/>
        <v>1+0.000391959442922744j</v>
      </c>
      <c r="T110" s="86" t="str">
        <f t="shared" si="15"/>
        <v>0.996810022845938+0.0153920735099717j</v>
      </c>
      <c r="U110" s="86" t="str">
        <f t="shared" si="16"/>
        <v>1.00296711525108-0.0150939334258997j</v>
      </c>
      <c r="V110" s="86" t="str">
        <f t="shared" si="17"/>
        <v>11.9936276861116-0.180495466976379j</v>
      </c>
      <c r="X110" s="86" t="str">
        <f t="shared" si="18"/>
        <v>0.349027228021924+0.0710017650338157j</v>
      </c>
      <c r="Y110" s="86">
        <f t="shared" si="19"/>
        <v>-8.9667099130627275</v>
      </c>
      <c r="Z110" s="86">
        <f t="shared" si="20"/>
        <v>-168.50135992229093</v>
      </c>
      <c r="AB110" s="86" t="str">
        <f t="shared" si="21"/>
        <v>5.57777794318968-0.0839415447014735j</v>
      </c>
      <c r="AC110" s="86">
        <f t="shared" si="22"/>
        <v>14.930207894135783</v>
      </c>
      <c r="AD110" s="86">
        <f t="shared" si="23"/>
        <v>179.13780483029942</v>
      </c>
      <c r="AF110" s="86" t="str">
        <f t="shared" si="24"/>
        <v>4.11997894891813-0.279065769879856j</v>
      </c>
      <c r="AG110" s="86">
        <f t="shared" si="25"/>
        <v>12.317779789255695</v>
      </c>
      <c r="AH110" s="86">
        <f t="shared" si="26"/>
        <v>176.12500326523605</v>
      </c>
      <c r="AJ110" s="86" t="str">
        <f t="shared" si="27"/>
        <v>104930.203352127-2706.24767059988j</v>
      </c>
      <c r="AK110" s="86" t="str">
        <f t="shared" si="28"/>
        <v>20000-2.09045036225464E-06j</v>
      </c>
      <c r="AL110" s="86" t="str">
        <f t="shared" si="43"/>
        <v>10000-4252140.6149543j</v>
      </c>
      <c r="AM110" s="86" t="str">
        <f t="shared" si="44"/>
        <v>963.136586503354-1319631.40813263j</v>
      </c>
      <c r="AN110" s="86" t="str">
        <f t="shared" si="45"/>
        <v>10963.1365865034-1319631.40813263j</v>
      </c>
      <c r="AO110" s="86" t="str">
        <f t="shared" si="46"/>
        <v>19992.8917838035-302.94816236204j</v>
      </c>
      <c r="AP110" s="86" t="str">
        <f t="shared" si="47"/>
        <v>0.160014303618368+0.00346624213404476j</v>
      </c>
      <c r="AQ110" s="86" t="str">
        <f t="shared" si="29"/>
        <v>1+0.15991945271248j</v>
      </c>
      <c r="AR110" s="86">
        <f t="shared" si="51"/>
        <v>9.9991642408053634E-8</v>
      </c>
      <c r="AS110" s="86" t="str">
        <f t="shared" si="31"/>
        <v>6.28739529329421E-06j</v>
      </c>
      <c r="AT110" s="86" t="str">
        <f t="shared" si="32"/>
        <v>9.99916424080536E-08+6.28739529329421E-06j</v>
      </c>
      <c r="AU110" s="86" t="str">
        <f t="shared" si="33"/>
        <v>4.19359276392932-23.790563308701j</v>
      </c>
      <c r="AW110" s="86" t="str">
        <f t="shared" si="48"/>
        <v>0.739710361575127-3.7949840518607j</v>
      </c>
      <c r="AX110" s="86">
        <f t="shared" si="34"/>
        <v>11.746143315991581</v>
      </c>
      <c r="AY110" s="86">
        <f t="shared" si="35"/>
        <v>101.02967784325922</v>
      </c>
      <c r="AZ110" s="86" t="str">
        <f t="shared" si="36"/>
        <v>3.80738331571196-21.2296707696075j</v>
      </c>
      <c r="BA110" s="86">
        <f t="shared" si="37"/>
        <v>26.676351210127358</v>
      </c>
      <c r="BB110" s="86">
        <f t="shared" si="38"/>
        <v>100.16748267355864</v>
      </c>
      <c r="BD110" s="86" t="str">
        <f t="shared" si="39"/>
        <v>1.98854097187186-15.8416822466872j</v>
      </c>
      <c r="BE110" s="86">
        <f t="shared" si="40"/>
        <v>24.063923105247284</v>
      </c>
      <c r="BF110" s="86">
        <f t="shared" si="41"/>
        <v>97.154681108495254</v>
      </c>
      <c r="BH110" s="86">
        <f t="shared" si="49"/>
        <v>-23.063923105247284</v>
      </c>
      <c r="BI110" s="162">
        <f t="shared" si="50"/>
        <v>-97.154681108495254</v>
      </c>
      <c r="BJ110" s="88"/>
      <c r="BK110" s="88"/>
      <c r="BL110" s="88"/>
      <c r="BM110" s="88"/>
      <c r="BN110" s="42"/>
      <c r="BO110" s="42"/>
      <c r="BP110" s="42"/>
    </row>
    <row r="111" spans="1:68" s="86" customFormat="1">
      <c r="A111" s="86">
        <v>47</v>
      </c>
      <c r="B111" s="86">
        <f t="shared" si="42"/>
        <v>870.9635899560808</v>
      </c>
      <c r="C111" s="86" t="str">
        <f t="shared" si="0"/>
        <v>5472.42563150043j</v>
      </c>
      <c r="D111" s="86">
        <f t="shared" si="1"/>
        <v>0.99999066078701104</v>
      </c>
      <c r="E111" s="86" t="str">
        <f t="shared" si="2"/>
        <v>-0.00480037336096529j</v>
      </c>
      <c r="F111" s="86" t="str">
        <f t="shared" si="3"/>
        <v>0.999990660787011-0.00480037336096529j</v>
      </c>
      <c r="G111" s="86">
        <f t="shared" si="4"/>
        <v>1.8957979591422652E-5</v>
      </c>
      <c r="H111" s="86">
        <f t="shared" si="5"/>
        <v>-0.27504158968755088</v>
      </c>
      <c r="J111" s="86">
        <f t="shared" si="6"/>
        <v>8.3707025411061284</v>
      </c>
      <c r="K111" s="86" t="str">
        <f t="shared" si="7"/>
        <v>1+0.234942958986667j</v>
      </c>
      <c r="L111" s="86">
        <f t="shared" si="8"/>
        <v>0.99650225960437588</v>
      </c>
      <c r="M111" s="86" t="str">
        <f t="shared" si="9"/>
        <v>0.0161174795859893j</v>
      </c>
      <c r="N111" s="86" t="str">
        <f t="shared" si="10"/>
        <v>0.996502259604376+0.0161174795859893j</v>
      </c>
      <c r="O111" s="86" t="str">
        <f t="shared" si="11"/>
        <v>1.00705988837698+0.219479373665157j</v>
      </c>
      <c r="P111" s="86" t="str">
        <f t="shared" si="12"/>
        <v>8.42979876668324+1.83719655085931j</v>
      </c>
      <c r="R111" s="86">
        <f t="shared" si="13"/>
        <v>11.958146487294469</v>
      </c>
      <c r="S111" s="86" t="str">
        <f t="shared" si="14"/>
        <v>1+0.000410431922362532j</v>
      </c>
      <c r="T111" s="86" t="str">
        <f t="shared" si="15"/>
        <v>0.996502259604376+0.0161174795859893j</v>
      </c>
      <c r="U111" s="86" t="str">
        <f t="shared" si="16"/>
        <v>1.00325422790259-0.0158148137282415j</v>
      </c>
      <c r="V111" s="86" t="str">
        <f t="shared" si="17"/>
        <v>11.9970610212567-0.189115859231587j</v>
      </c>
      <c r="X111" s="86" t="str">
        <f t="shared" si="18"/>
        <v>0.349275352694016+0.0743668567107708j</v>
      </c>
      <c r="Y111" s="86">
        <f t="shared" si="19"/>
        <v>-8.9440909036381342</v>
      </c>
      <c r="Z111" s="86">
        <f t="shared" si="20"/>
        <v>-167.98021173897988</v>
      </c>
      <c r="AB111" s="86" t="str">
        <f t="shared" si="21"/>
        <v>5.57937465617303-0.0879505597418871j</v>
      </c>
      <c r="AC111" s="86">
        <f t="shared" si="22"/>
        <v>14.932789544556833</v>
      </c>
      <c r="AD111" s="86">
        <f t="shared" si="23"/>
        <v>179.09689188165245</v>
      </c>
      <c r="AF111" s="86" t="str">
        <f t="shared" si="24"/>
        <v>4.11898445785268-0.292206098574098j</v>
      </c>
      <c r="AG111" s="86">
        <f t="shared" si="25"/>
        <v>12.317604847683992</v>
      </c>
      <c r="AH111" s="86">
        <f t="shared" si="26"/>
        <v>175.94216124480337</v>
      </c>
      <c r="AJ111" s="86" t="str">
        <f t="shared" si="27"/>
        <v>104923.474405179-2833.60746921063j</v>
      </c>
      <c r="AK111" s="86" t="str">
        <f t="shared" si="28"/>
        <v>20000-2.18897025260018E-06j</v>
      </c>
      <c r="AL111" s="86" t="str">
        <f t="shared" si="43"/>
        <v>10000-4060762.76200201j</v>
      </c>
      <c r="AM111" s="86" t="str">
        <f t="shared" si="44"/>
        <v>963.136342067688-1260238.354974j</v>
      </c>
      <c r="AN111" s="86" t="str">
        <f t="shared" si="45"/>
        <v>10963.1363420677-1260238.354974j</v>
      </c>
      <c r="AO111" s="86" t="str">
        <f t="shared" si="46"/>
        <v>19992.2064114931-317.208794063916j</v>
      </c>
      <c r="AP111" s="86" t="str">
        <f t="shared" si="47"/>
        <v>0.160015683579901+0.00362959513016358j</v>
      </c>
      <c r="AQ111" s="86" t="str">
        <f t="shared" si="29"/>
        <v>1+0.167456224323913j</v>
      </c>
      <c r="AR111" s="86">
        <f t="shared" si="51"/>
        <v>9.9990836082658556E-8</v>
      </c>
      <c r="AS111" s="86" t="str">
        <f t="shared" si="31"/>
        <v>6.58371110448922E-06j</v>
      </c>
      <c r="AT111" s="86" t="str">
        <f t="shared" si="32"/>
        <v>9.99908360826586E-08+6.58371110448922E-06j</v>
      </c>
      <c r="AU111" s="86" t="str">
        <f t="shared" si="33"/>
        <v>4.16030666738872-22.720317626934j</v>
      </c>
      <c r="AW111" s="86" t="str">
        <f t="shared" si="48"/>
        <v>0.734394928953114-3.62330310165894j</v>
      </c>
      <c r="AX111" s="86">
        <f t="shared" si="34"/>
        <v>11.356942072610989</v>
      </c>
      <c r="AY111" s="86">
        <f t="shared" si="35"/>
        <v>101.45786526564765</v>
      </c>
      <c r="AZ111" s="86" t="str">
        <f t="shared" si="36"/>
        <v>3.77879291831758-20.280355942102j</v>
      </c>
      <c r="BA111" s="86">
        <f t="shared" si="37"/>
        <v>26.289731617167803</v>
      </c>
      <c r="BB111" s="86">
        <f t="shared" si="38"/>
        <v>100.55475714730015</v>
      </c>
      <c r="BD111" s="86" t="str">
        <f t="shared" si="39"/>
        <v>1.96621003499652-15.1389238388245j</v>
      </c>
      <c r="BE111" s="86">
        <f t="shared" si="40"/>
        <v>23.67454692029494</v>
      </c>
      <c r="BF111" s="86">
        <f t="shared" si="41"/>
        <v>97.400026510451099</v>
      </c>
      <c r="BH111" s="86">
        <f t="shared" si="49"/>
        <v>-22.67454692029494</v>
      </c>
      <c r="BI111" s="162">
        <f t="shared" si="50"/>
        <v>-97.400026510451099</v>
      </c>
      <c r="BJ111" s="88"/>
      <c r="BK111" s="88"/>
      <c r="BL111" s="88"/>
      <c r="BM111" s="88"/>
      <c r="BN111" s="42"/>
      <c r="BO111" s="42"/>
      <c r="BP111" s="42"/>
    </row>
    <row r="112" spans="1:68" s="86" customFormat="1">
      <c r="A112" s="86">
        <v>48</v>
      </c>
      <c r="B112" s="86">
        <f t="shared" si="42"/>
        <v>912.01083935590987</v>
      </c>
      <c r="C112" s="86" t="str">
        <f t="shared" si="0"/>
        <v>5730.33310582957j</v>
      </c>
      <c r="D112" s="86">
        <f t="shared" si="1"/>
        <v>0.99998975975658844</v>
      </c>
      <c r="E112" s="86" t="str">
        <f t="shared" si="2"/>
        <v>-0.0050266079875698j</v>
      </c>
      <c r="F112" s="86" t="str">
        <f t="shared" si="3"/>
        <v>0.999989759756588-0.0050266079875698j</v>
      </c>
      <c r="G112" s="86">
        <f t="shared" si="4"/>
        <v>2.078704695400512E-5</v>
      </c>
      <c r="H112" s="86">
        <f t="shared" si="5"/>
        <v>-0.28800394653164479</v>
      </c>
      <c r="J112" s="86">
        <f t="shared" si="6"/>
        <v>8.3707025411061284</v>
      </c>
      <c r="K112" s="86" t="str">
        <f t="shared" si="7"/>
        <v>1+0.24601547951849j</v>
      </c>
      <c r="L112" s="86">
        <f t="shared" si="8"/>
        <v>0.99616480392042894</v>
      </c>
      <c r="M112" s="86" t="str">
        <f t="shared" si="9"/>
        <v>0.016877072997117j</v>
      </c>
      <c r="N112" s="86" t="str">
        <f t="shared" si="10"/>
        <v>0.996164803920429+0.016877072997117j</v>
      </c>
      <c r="O112" s="86" t="str">
        <f t="shared" si="11"/>
        <v>1.00774475839961+0.229889368473221j</v>
      </c>
      <c r="P112" s="86" t="str">
        <f t="shared" si="12"/>
        <v>8.435531609922+1.92433552085207j</v>
      </c>
      <c r="R112" s="86">
        <f t="shared" si="13"/>
        <v>11.958146487294469</v>
      </c>
      <c r="S112" s="86" t="str">
        <f t="shared" si="14"/>
        <v>1+0.000429774982937218j</v>
      </c>
      <c r="T112" s="86" t="str">
        <f t="shared" si="15"/>
        <v>0.996164803920429+0.016877072997117j</v>
      </c>
      <c r="U112" s="86" t="str">
        <f t="shared" si="16"/>
        <v>1.00356921322902-0.0165710892629638j</v>
      </c>
      <c r="V112" s="86" t="str">
        <f t="shared" si="17"/>
        <v>12.0008276619315-0.198159512860554j</v>
      </c>
      <c r="X112" s="86" t="str">
        <f t="shared" si="18"/>
        <v>0.349547654163433+0.0778933476535775j</v>
      </c>
      <c r="Y112" s="86">
        <f t="shared" si="19"/>
        <v>-8.9193945616637613</v>
      </c>
      <c r="Z112" s="86">
        <f t="shared" si="20"/>
        <v>-167.43744317041401</v>
      </c>
      <c r="AB112" s="86" t="str">
        <f t="shared" si="21"/>
        <v>5.58112637682217-0.0921564174738152j</v>
      </c>
      <c r="AC112" s="86">
        <f t="shared" si="22"/>
        <v>14.93562108024673</v>
      </c>
      <c r="AD112" s="86">
        <f t="shared" si="23"/>
        <v>179.05400924179744</v>
      </c>
      <c r="AF112" s="86" t="str">
        <f t="shared" si="24"/>
        <v>4.11789372722918-0.305963960513365j</v>
      </c>
      <c r="AG112" s="86">
        <f t="shared" si="25"/>
        <v>12.317412630179639</v>
      </c>
      <c r="AH112" s="86">
        <f t="shared" si="26"/>
        <v>175.7506697846448</v>
      </c>
      <c r="AJ112" s="86" t="str">
        <f t="shared" si="27"/>
        <v>104916.097253434-2966.94265507627j</v>
      </c>
      <c r="AK112" s="86" t="str">
        <f t="shared" si="28"/>
        <v>20000-2.29213324233182E-06j</v>
      </c>
      <c r="AL112" s="86" t="str">
        <f t="shared" si="43"/>
        <v>10000-3877998.33130383j</v>
      </c>
      <c r="AM112" s="86" t="str">
        <f t="shared" si="44"/>
        <v>963.136074049468-1203518.43632928j</v>
      </c>
      <c r="AN112" s="86" t="str">
        <f t="shared" si="45"/>
        <v>10963.1360740495-1203518.43632928j</v>
      </c>
      <c r="AO112" s="86" t="str">
        <f t="shared" si="46"/>
        <v>19991.4549996969-332.139010657716j</v>
      </c>
      <c r="AP112" s="86" t="str">
        <f t="shared" si="47"/>
        <v>0.160017196672423+0.00380064583241481j</v>
      </c>
      <c r="AQ112" s="86" t="str">
        <f t="shared" si="29"/>
        <v>1+0.175348193038385j</v>
      </c>
      <c r="AR112" s="86">
        <f t="shared" si="51"/>
        <v>9.9989951964443842E-8</v>
      </c>
      <c r="AS112" s="86" t="str">
        <f t="shared" si="31"/>
        <v>6.89399184963038E-06j</v>
      </c>
      <c r="AT112" s="86" t="str">
        <f t="shared" si="32"/>
        <v>9.99899519644438E-08+6.89399184963038E-06j</v>
      </c>
      <c r="AU112" s="86" t="str">
        <f t="shared" si="33"/>
        <v>4.12994809487988-21.6981757378198j</v>
      </c>
      <c r="AW112" s="86" t="str">
        <f t="shared" si="48"/>
        <v>0.729548616251482-3.45929343031002j</v>
      </c>
      <c r="AX112" s="86">
        <f t="shared" si="34"/>
        <v>10.968736078924735</v>
      </c>
      <c r="AY112" s="86">
        <f t="shared" si="35"/>
        <v>101.90889879341951</v>
      </c>
      <c r="AZ112" s="86" t="str">
        <f t="shared" si="36"/>
        <v>3.75290693580718-19.3739863959176j</v>
      </c>
      <c r="BA112" s="86">
        <f t="shared" si="37"/>
        <v>25.904357159171457</v>
      </c>
      <c r="BB112" s="86">
        <f t="shared" si="38"/>
        <v>100.96290803521693</v>
      </c>
      <c r="BD112" s="86" t="str">
        <f t="shared" si="39"/>
        <v>1.94578455205518-14.4682183013341j</v>
      </c>
      <c r="BE112" s="86">
        <f t="shared" si="40"/>
        <v>23.286148709104381</v>
      </c>
      <c r="BF112" s="86">
        <f t="shared" si="41"/>
        <v>97.659568578064267</v>
      </c>
      <c r="BH112" s="86">
        <f t="shared" si="49"/>
        <v>-22.286148709104381</v>
      </c>
      <c r="BI112" s="162">
        <f t="shared" si="50"/>
        <v>-97.659568578064267</v>
      </c>
      <c r="BJ112" s="88"/>
      <c r="BK112" s="88"/>
      <c r="BL112" s="88"/>
      <c r="BM112" s="88"/>
      <c r="BN112" s="42"/>
      <c r="BO112" s="42"/>
      <c r="BP112" s="42"/>
    </row>
    <row r="113" spans="1:68" s="86" customFormat="1">
      <c r="A113" s="86">
        <v>49</v>
      </c>
      <c r="B113" s="86">
        <f t="shared" si="42"/>
        <v>954.99258602143584</v>
      </c>
      <c r="C113" s="86" t="str">
        <f t="shared" si="0"/>
        <v>6000.39538495532j</v>
      </c>
      <c r="D113" s="86">
        <f t="shared" si="1"/>
        <v>0.99998877179637602</v>
      </c>
      <c r="E113" s="86" t="str">
        <f t="shared" si="2"/>
        <v>-0.00526350472364502j</v>
      </c>
      <c r="F113" s="86" t="str">
        <f t="shared" si="3"/>
        <v>0.999988771796376-0.00526350472364502j</v>
      </c>
      <c r="G113" s="86">
        <f t="shared" si="4"/>
        <v>2.2792586665569546E-5</v>
      </c>
      <c r="H113" s="86">
        <f t="shared" si="5"/>
        <v>-0.3015772072581942</v>
      </c>
      <c r="J113" s="86">
        <f t="shared" si="6"/>
        <v>8.3707025411061284</v>
      </c>
      <c r="K113" s="86" t="str">
        <f t="shared" si="7"/>
        <v>1+0.257609831866242j</v>
      </c>
      <c r="L113" s="86">
        <f t="shared" si="8"/>
        <v>0.99579479112081648</v>
      </c>
      <c r="M113" s="86" t="str">
        <f t="shared" si="9"/>
        <v>0.0176724649428202j</v>
      </c>
      <c r="N113" s="86" t="str">
        <f t="shared" si="10"/>
        <v>0.995794791120816+0.0176724649428202j</v>
      </c>
      <c r="O113" s="86" t="str">
        <f t="shared" si="11"/>
        <v>1.00849646478957+0.240799827017972j</v>
      </c>
      <c r="P113" s="86" t="str">
        <f t="shared" si="12"/>
        <v>8.4418239205106+2.01566372391725j</v>
      </c>
      <c r="R113" s="86">
        <f t="shared" si="13"/>
        <v>11.958146487294469</v>
      </c>
      <c r="S113" s="86" t="str">
        <f t="shared" si="14"/>
        <v>1+0.000450029653871649j</v>
      </c>
      <c r="T113" s="86" t="str">
        <f t="shared" si="15"/>
        <v>0.995794791120816+0.0176724649428202j</v>
      </c>
      <c r="U113" s="86" t="str">
        <f t="shared" si="16"/>
        <v>1.00391479539662-0.0173646413172046j</v>
      </c>
      <c r="V113" s="86" t="str">
        <f t="shared" si="17"/>
        <v>12.004960184115-0.207648924570459j</v>
      </c>
      <c r="X113" s="86" t="str">
        <f t="shared" si="18"/>
        <v>0.349846513484639+0.0815892628965575j</v>
      </c>
      <c r="Y113" s="86">
        <f t="shared" si="19"/>
        <v>-8.8924404121916627</v>
      </c>
      <c r="Z113" s="86">
        <f t="shared" si="20"/>
        <v>-166.87243757183901</v>
      </c>
      <c r="AB113" s="86" t="str">
        <f t="shared" si="21"/>
        <v>5.58304825498015-0.0965695802561355j</v>
      </c>
      <c r="AC113" s="86">
        <f t="shared" si="22"/>
        <v>14.938726774512068</v>
      </c>
      <c r="AD113" s="86">
        <f t="shared" si="23"/>
        <v>179.00905787895911</v>
      </c>
      <c r="AF113" s="86" t="str">
        <f t="shared" si="24"/>
        <v>4.11669741321025-0.320368192567137j</v>
      </c>
      <c r="AG113" s="86">
        <f t="shared" si="25"/>
        <v>12.317201389577566</v>
      </c>
      <c r="AH113" s="86">
        <f t="shared" si="26"/>
        <v>175.55011647879991</v>
      </c>
      <c r="AJ113" s="86" t="str">
        <f t="shared" si="27"/>
        <v>104908.009559631-3106.53086216588j</v>
      </c>
      <c r="AK113" s="86" t="str">
        <f t="shared" si="28"/>
        <v>20000-2.40015815398212E-06j</v>
      </c>
      <c r="AL113" s="86" t="str">
        <f t="shared" si="43"/>
        <v>10000-3703459.65499867j</v>
      </c>
      <c r="AM113" s="86" t="str">
        <f t="shared" si="44"/>
        <v>963.135780173489-1149351.34164646j</v>
      </c>
      <c r="AN113" s="86" t="str">
        <f t="shared" si="45"/>
        <v>10963.1357801735-1149351.34164646j</v>
      </c>
      <c r="AO113" s="86" t="str">
        <f t="shared" si="46"/>
        <v>19990.6311940166-347.769999183573j</v>
      </c>
      <c r="AP113" s="86" t="str">
        <f t="shared" si="47"/>
        <v>0.160018855739115+0.00397975689163975j</v>
      </c>
      <c r="AQ113" s="86" t="str">
        <f t="shared" si="29"/>
        <v>1+0.183612098779633j</v>
      </c>
      <c r="AR113" s="86">
        <f t="shared" si="51"/>
        <v>9.9988982548098606E-8</v>
      </c>
      <c r="AS113" s="86" t="str">
        <f t="shared" si="31"/>
        <v>0.0000072188956757782j</v>
      </c>
      <c r="AT113" s="86" t="str">
        <f t="shared" si="32"/>
        <v>9.99889825480986E-08+0.0000072188956757782j</v>
      </c>
      <c r="AU113" s="86" t="str">
        <f t="shared" si="33"/>
        <v>4.1022596732595-20.7219810269659j</v>
      </c>
      <c r="AW113" s="86" t="str">
        <f t="shared" si="48"/>
        <v>0.725130337613345-3.30260899005843j</v>
      </c>
      <c r="AX113" s="86">
        <f t="shared" si="34"/>
        <v>10.5816172854319</v>
      </c>
      <c r="AY113" s="86">
        <f t="shared" si="35"/>
        <v>102.38352736714286</v>
      </c>
      <c r="AZ113" s="86" t="str">
        <f t="shared" si="36"/>
        <v>3.72950610212527-18.5086508911618j</v>
      </c>
      <c r="BA113" s="86">
        <f t="shared" si="37"/>
        <v>25.520344059943973</v>
      </c>
      <c r="BB113" s="86">
        <f t="shared" si="38"/>
        <v>101.39258524610197</v>
      </c>
      <c r="BD113" s="86" t="str">
        <f t="shared" si="39"/>
        <v>1.92709131219214-13.8281505818553j</v>
      </c>
      <c r="BE113" s="86">
        <f t="shared" si="40"/>
        <v>22.898818675009501</v>
      </c>
      <c r="BF113" s="86">
        <f t="shared" si="41"/>
        <v>97.93364384594274</v>
      </c>
      <c r="BH113" s="86">
        <f t="shared" si="49"/>
        <v>-21.898818675009501</v>
      </c>
      <c r="BI113" s="162">
        <f t="shared" si="50"/>
        <v>-97.93364384594274</v>
      </c>
      <c r="BJ113" s="88"/>
      <c r="BK113" s="88"/>
      <c r="BL113" s="88"/>
      <c r="BM113" s="88"/>
      <c r="BN113" s="42"/>
      <c r="BO113" s="42"/>
      <c r="BP113" s="42"/>
    </row>
    <row r="114" spans="1:68" s="86" customFormat="1">
      <c r="A114" s="86">
        <v>50</v>
      </c>
      <c r="B114" s="86">
        <f t="shared" si="42"/>
        <v>1000</v>
      </c>
      <c r="C114" s="86" t="str">
        <f t="shared" si="0"/>
        <v>6283.18530717959j</v>
      </c>
      <c r="D114" s="86">
        <f t="shared" si="1"/>
        <v>0.99998768851954445</v>
      </c>
      <c r="E114" s="86" t="str">
        <f t="shared" si="2"/>
        <v>-0.00551156605892947j</v>
      </c>
      <c r="F114" s="86" t="str">
        <f t="shared" si="3"/>
        <v>0.999987688519544-0.00551156605892947j</v>
      </c>
      <c r="G114" s="86">
        <f t="shared" si="4"/>
        <v>2.4991625900986254E-5</v>
      </c>
      <c r="H114" s="86">
        <f t="shared" si="5"/>
        <v>-0.31579016389130188</v>
      </c>
      <c r="J114" s="86">
        <f t="shared" si="6"/>
        <v>8.3707025411061284</v>
      </c>
      <c r="K114" s="86" t="str">
        <f t="shared" si="7"/>
        <v>1+0.269750609205735j</v>
      </c>
      <c r="L114" s="86">
        <f t="shared" si="8"/>
        <v>0.99538908015374761</v>
      </c>
      <c r="M114" s="86" t="str">
        <f t="shared" si="9"/>
        <v>0.0185053425560558j</v>
      </c>
      <c r="N114" s="86" t="str">
        <f t="shared" si="10"/>
        <v>0.995389080153748+0.0185053425560558j</v>
      </c>
      <c r="O114" s="86" t="str">
        <f t="shared" si="11"/>
        <v>1.00932161104493+0.252235806128532j</v>
      </c>
      <c r="P114" s="86" t="str">
        <f t="shared" si="12"/>
        <v>8.44873097436713+2.11139090331806j</v>
      </c>
      <c r="R114" s="86">
        <f t="shared" si="13"/>
        <v>11.958146487294469</v>
      </c>
      <c r="S114" s="86" t="str">
        <f t="shared" si="14"/>
        <v>1+0.000471238898038469j</v>
      </c>
      <c r="T114" s="86" t="str">
        <f t="shared" si="15"/>
        <v>0.995389080153748+0.0185053425560558j</v>
      </c>
      <c r="U114" s="86" t="str">
        <f t="shared" si="16"/>
        <v>1.00429396853609-0.0181974721019692j</v>
      </c>
      <c r="V114" s="86" t="str">
        <f t="shared" si="17"/>
        <v>12.0094943920609-0.217608037093802j</v>
      </c>
      <c r="X114" s="86" t="str">
        <f t="shared" si="18"/>
        <v>0.350174551356787+0.0854630683628211j</v>
      </c>
      <c r="Y114" s="86">
        <f t="shared" si="19"/>
        <v>-8.8630342220590315</v>
      </c>
      <c r="Z114" s="86">
        <f t="shared" si="20"/>
        <v>-166.28460086048901</v>
      </c>
      <c r="AB114" s="86" t="str">
        <f t="shared" si="21"/>
        <v>5.58515694183723-0.101201182938848j</v>
      </c>
      <c r="AC114" s="86">
        <f t="shared" si="22"/>
        <v>14.942133276012015</v>
      </c>
      <c r="AD114" s="86">
        <f t="shared" si="23"/>
        <v>178.961933161768</v>
      </c>
      <c r="AF114" s="86" t="str">
        <f t="shared" si="24"/>
        <v>4.11538525871785-0.335448949314638j</v>
      </c>
      <c r="AG114" s="86">
        <f t="shared" si="25"/>
        <v>12.316969193905667</v>
      </c>
      <c r="AH114" s="86">
        <f t="shared" si="26"/>
        <v>175.34006878466795</v>
      </c>
      <c r="AJ114" s="86" t="str">
        <f t="shared" si="27"/>
        <v>104899.143012768-3252.66222155039j</v>
      </c>
      <c r="AK114" s="86" t="str">
        <f t="shared" si="28"/>
        <v>20000-2.51327412287184E-06j</v>
      </c>
      <c r="AL114" s="86" t="str">
        <f t="shared" si="43"/>
        <v>10000-3536776.51315322j</v>
      </c>
      <c r="AM114" s="86" t="str">
        <f t="shared" si="44"/>
        <v>963.135457945106-1097622.17525538j</v>
      </c>
      <c r="AN114" s="86" t="str">
        <f t="shared" si="45"/>
        <v>10963.1354579451-1097622.17525538j</v>
      </c>
      <c r="AO114" s="86" t="str">
        <f t="shared" si="46"/>
        <v>19989.7280304202-364.134361880215j</v>
      </c>
      <c r="AP114" s="86" t="str">
        <f t="shared" si="47"/>
        <v>0.160020674862037+0.00416730803049976j</v>
      </c>
      <c r="AQ114" s="86" t="str">
        <f t="shared" si="29"/>
        <v>1+0.192265470399695j</v>
      </c>
      <c r="AR114" s="86">
        <f t="shared" si="51"/>
        <v>9.9987919604213065E-8</v>
      </c>
      <c r="AS114" s="86" t="str">
        <f t="shared" si="31"/>
        <v>7.55911174750855E-06j</v>
      </c>
      <c r="AT114" s="86" t="str">
        <f t="shared" si="32"/>
        <v>9.99879196042131E-08+7.55911174750855E-06j</v>
      </c>
      <c r="AU114" s="86" t="str">
        <f t="shared" si="33"/>
        <v>4.0770066388995-19.7896728590193j</v>
      </c>
      <c r="AW114" s="86" t="str">
        <f t="shared" si="48"/>
        <v>0.721102631578796-3.15291903427411j</v>
      </c>
      <c r="AX114" s="86">
        <f t="shared" si="34"/>
        <v>10.195685291581004</v>
      </c>
      <c r="AY114" s="86">
        <f t="shared" si="35"/>
        <v>102.88252111327942</v>
      </c>
      <c r="AZ114" s="86" t="str">
        <f t="shared" si="36"/>
        <v>3.70839223256046-17.6825240706629j</v>
      </c>
      <c r="BA114" s="86">
        <f t="shared" si="37"/>
        <v>25.137818567593033</v>
      </c>
      <c r="BB114" s="86">
        <f t="shared" si="38"/>
        <v>101.84445427504741</v>
      </c>
      <c r="BD114" s="86" t="str">
        <f t="shared" si="39"/>
        <v>1.90997176270065-13.2173696356937j</v>
      </c>
      <c r="BE114" s="86">
        <f t="shared" si="40"/>
        <v>22.512654485486657</v>
      </c>
      <c r="BF114" s="86">
        <f t="shared" si="41"/>
        <v>98.222589897947387</v>
      </c>
      <c r="BH114" s="86">
        <f t="shared" si="49"/>
        <v>-21.512654485486657</v>
      </c>
      <c r="BI114" s="162">
        <f t="shared" si="50"/>
        <v>-98.222589897947387</v>
      </c>
      <c r="BJ114" s="88"/>
      <c r="BK114" s="88"/>
      <c r="BL114" s="88"/>
      <c r="BM114" s="88"/>
      <c r="BN114" s="42"/>
      <c r="BO114" s="42"/>
      <c r="BP114" s="42"/>
    </row>
    <row r="115" spans="1:68" s="86" customFormat="1">
      <c r="A115" s="86">
        <v>51</v>
      </c>
      <c r="B115" s="86">
        <f t="shared" si="42"/>
        <v>1047.1285480509</v>
      </c>
      <c r="C115" s="86" t="str">
        <f t="shared" si="0"/>
        <v>6579.30270784171j</v>
      </c>
      <c r="D115" s="86">
        <f t="shared" si="1"/>
        <v>0.9999865007301183</v>
      </c>
      <c r="E115" s="86" t="str">
        <f t="shared" si="2"/>
        <v>-0.00577131816477343j</v>
      </c>
      <c r="F115" s="86" t="str">
        <f t="shared" si="3"/>
        <v>0.999986500730118-0.00577131816477343j</v>
      </c>
      <c r="G115" s="86">
        <f t="shared" si="4"/>
        <v>2.7402834918062014E-5</v>
      </c>
      <c r="H115" s="86">
        <f t="shared" si="5"/>
        <v>-0.33067296553115194</v>
      </c>
      <c r="J115" s="86">
        <f t="shared" si="6"/>
        <v>8.3707025411061284</v>
      </c>
      <c r="K115" s="86" t="str">
        <f t="shared" si="7"/>
        <v>1+0.282463563753447j</v>
      </c>
      <c r="L115" s="86">
        <f t="shared" si="8"/>
        <v>0.99494422692442031</v>
      </c>
      <c r="M115" s="86" t="str">
        <f t="shared" si="9"/>
        <v>0.0193774724819072j</v>
      </c>
      <c r="N115" s="86" t="str">
        <f t="shared" si="10"/>
        <v>0.99494422692442+0.0193774724819072j</v>
      </c>
      <c r="O115" s="86" t="str">
        <f t="shared" si="11"/>
        <v>1.01022746955978+0.264223764154326j</v>
      </c>
      <c r="P115" s="86" t="str">
        <f t="shared" si="12"/>
        <v>8.45631364653926+2.21173853402724j</v>
      </c>
      <c r="R115" s="86">
        <f t="shared" si="13"/>
        <v>11.958146487294469</v>
      </c>
      <c r="S115" s="86" t="str">
        <f t="shared" si="14"/>
        <v>1+0.000493447703088128j</v>
      </c>
      <c r="T115" s="86" t="str">
        <f t="shared" si="15"/>
        <v>0.99494422692442+0.0193774724819072j</v>
      </c>
      <c r="U115" s="86" t="str">
        <f t="shared" si="16"/>
        <v>1.00471002424883-0.0190717154093618j</v>
      </c>
      <c r="V115" s="86" t="str">
        <f t="shared" si="17"/>
        <v>12.0144696472207-0.22806236662914j</v>
      </c>
      <c r="X115" s="86" t="str">
        <f t="shared" si="18"/>
        <v>0.350534653287219+0.0895237011048483j</v>
      </c>
      <c r="Y115" s="86">
        <f t="shared" si="19"/>
        <v>-8.8309673015567718</v>
      </c>
      <c r="Z115" s="86">
        <f t="shared" si="20"/>
        <v>-165.67336839307188</v>
      </c>
      <c r="AB115" s="86" t="str">
        <f t="shared" si="21"/>
        <v>5.58747074290046-0.106063092130891j</v>
      </c>
      <c r="AC115" s="86">
        <f t="shared" si="22"/>
        <v>14.945869844758645</v>
      </c>
      <c r="AD115" s="86">
        <f t="shared" si="23"/>
        <v>178.91252445373183</v>
      </c>
      <c r="AF115" s="86" t="str">
        <f t="shared" si="24"/>
        <v>4.11394600298771-0.351237758549366j</v>
      </c>
      <c r="AG115" s="86">
        <f t="shared" si="25"/>
        <v>12.316713905274931</v>
      </c>
      <c r="AH115" s="86">
        <f t="shared" si="26"/>
        <v>175.12007297182046</v>
      </c>
      <c r="AJ115" s="86" t="str">
        <f t="shared" si="27"/>
        <v>104889.422759922-3405.63986383431j</v>
      </c>
      <c r="AK115" s="86" t="str">
        <f t="shared" si="28"/>
        <v>20000-2.63172108313668E-06j</v>
      </c>
      <c r="AL115" s="86" t="str">
        <f t="shared" si="43"/>
        <v>10000-3377595.34847608j</v>
      </c>
      <c r="AM115" s="86" t="str">
        <f t="shared" si="44"/>
        <v>963.135104628944-1048221.21265867j</v>
      </c>
      <c r="AN115" s="86" t="str">
        <f t="shared" si="45"/>
        <v>10963.1351046289-1048221.21265867j</v>
      </c>
      <c r="AO115" s="86" t="str">
        <f t="shared" si="46"/>
        <v>19988.7378771168-381.266174829228j</v>
      </c>
      <c r="AP115" s="86" t="str">
        <f t="shared" si="47"/>
        <v>0.160022669481601+0.00436369684517449j</v>
      </c>
      <c r="AQ115" s="86" t="str">
        <f t="shared" si="29"/>
        <v>1+0.201326662859956j</v>
      </c>
      <c r="AR115" s="86">
        <f t="shared" si="51"/>
        <v>9.9986754109418844E-8</v>
      </c>
      <c r="AS115" s="86" t="str">
        <f t="shared" si="31"/>
        <v>7.91536170872313E-06j</v>
      </c>
      <c r="AT115" s="86" t="str">
        <f t="shared" si="32"/>
        <v>9.99867541094188E-08+7.91536170872313E-06j</v>
      </c>
      <c r="AU115" s="86" t="str">
        <f t="shared" si="33"/>
        <v>4.05397485443689-18.8992823976954j</v>
      </c>
      <c r="AW115" s="86" t="str">
        <f t="shared" si="48"/>
        <v>0.717431344618704-3.00990744646623j</v>
      </c>
      <c r="AX115" s="86">
        <f t="shared" si="34"/>
        <v>9.8110478934358429</v>
      </c>
      <c r="AY115" s="86">
        <f t="shared" si="35"/>
        <v>103.4066691857626</v>
      </c>
      <c r="AZ115" s="86" t="str">
        <f t="shared" si="36"/>
        <v>3.68938655729674-16.8938627827702j</v>
      </c>
      <c r="BA115" s="86">
        <f t="shared" si="37"/>
        <v>24.756917738194502</v>
      </c>
      <c r="BB115" s="86">
        <f t="shared" si="38"/>
        <v>102.31919363949442</v>
      </c>
      <c r="BD115" s="86" t="str">
        <f t="shared" si="39"/>
        <v>1.89428066767437-12.6345856861496j</v>
      </c>
      <c r="BE115" s="86">
        <f t="shared" si="40"/>
        <v>22.127761798710761</v>
      </c>
      <c r="BF115" s="86">
        <f t="shared" si="41"/>
        <v>98.526742157583058</v>
      </c>
      <c r="BH115" s="86">
        <f t="shared" si="49"/>
        <v>-21.127761798710761</v>
      </c>
      <c r="BI115" s="162">
        <f t="shared" si="50"/>
        <v>-98.526742157583058</v>
      </c>
      <c r="BJ115" s="88"/>
      <c r="BK115" s="88"/>
      <c r="BL115" s="88"/>
      <c r="BM115" s="88"/>
      <c r="BN115" s="42"/>
      <c r="BO115" s="42"/>
      <c r="BP115" s="42"/>
    </row>
    <row r="116" spans="1:68" s="86" customFormat="1">
      <c r="A116" s="86">
        <v>52</v>
      </c>
      <c r="B116" s="86">
        <f t="shared" si="42"/>
        <v>1096.4781961431854</v>
      </c>
      <c r="C116" s="86" t="str">
        <f t="shared" si="0"/>
        <v>6889.37569164964j</v>
      </c>
      <c r="D116" s="86">
        <f t="shared" si="1"/>
        <v>0.99998519834491084</v>
      </c>
      <c r="E116" s="86" t="str">
        <f t="shared" si="2"/>
        <v>-0.00604331201021898j</v>
      </c>
      <c r="F116" s="86" t="str">
        <f t="shared" si="3"/>
        <v>0.999985198344911-0.00604331201021898j</v>
      </c>
      <c r="G116" s="86">
        <f t="shared" si="4"/>
        <v>3.0046685580183674E-5</v>
      </c>
      <c r="H116" s="86">
        <f t="shared" si="5"/>
        <v>-0.34625718233322933</v>
      </c>
      <c r="J116" s="86">
        <f t="shared" si="6"/>
        <v>8.3707025411061284</v>
      </c>
      <c r="K116" s="86" t="str">
        <f t="shared" si="7"/>
        <v>1+0.29577566139043j</v>
      </c>
      <c r="L116" s="86">
        <f t="shared" si="8"/>
        <v>0.99445645505797908</v>
      </c>
      <c r="M116" s="86" t="str">
        <f t="shared" si="9"/>
        <v>0.0202907046248757j</v>
      </c>
      <c r="N116" s="86" t="str">
        <f t="shared" si="10"/>
        <v>0.994456455057979+0.0202907046248757j</v>
      </c>
      <c r="O116" s="86" t="str">
        <f t="shared" si="11"/>
        <v>1.01122205271978+0.276791660417634j</v>
      </c>
      <c r="P116" s="86" t="str">
        <f t="shared" si="12"/>
        <v>8.46463900632402+2.31694065521487j</v>
      </c>
      <c r="R116" s="86">
        <f t="shared" si="13"/>
        <v>11.958146487294469</v>
      </c>
      <c r="S116" s="86" t="str">
        <f t="shared" si="14"/>
        <v>1+0.000516703176873723j</v>
      </c>
      <c r="T116" s="86" t="str">
        <f t="shared" si="15"/>
        <v>0.994456455057979+0.0202907046248757j</v>
      </c>
      <c r="U116" s="86" t="str">
        <f t="shared" si="16"/>
        <v>1.00516658206755-0.0199896485537879j</v>
      </c>
      <c r="V116" s="86" t="str">
        <f t="shared" si="17"/>
        <v>12.0199292324969-0.23903914563573j</v>
      </c>
      <c r="X116" s="86" t="str">
        <f t="shared" si="18"/>
        <v>0.350929997607423+0.0937806024179988j</v>
      </c>
      <c r="Y116" s="86">
        <f t="shared" si="19"/>
        <v>-8.7960158353796043</v>
      </c>
      <c r="Z116" s="86">
        <f t="shared" si="20"/>
        <v>-165.038212632578</v>
      </c>
      <c r="AB116" s="86" t="str">
        <f t="shared" si="21"/>
        <v>5.59000978739388-0.111167972608473j</v>
      </c>
      <c r="AC116" s="86">
        <f t="shared" si="22"/>
        <v>14.949968612286499</v>
      </c>
      <c r="AD116" s="86">
        <f t="shared" si="23"/>
        <v>178.86071466669512</v>
      </c>
      <c r="AF116" s="86" t="str">
        <f t="shared" si="24"/>
        <v>4.11236728193931-0.367767578299929j</v>
      </c>
      <c r="AG116" s="86">
        <f t="shared" si="25"/>
        <v>12.316433156073614</v>
      </c>
      <c r="AH116" s="86">
        <f t="shared" si="26"/>
        <v>174.88965300655369</v>
      </c>
      <c r="AJ116" s="86" t="str">
        <f t="shared" si="27"/>
        <v>104878.766784898-3565.78043257056j</v>
      </c>
      <c r="AK116" s="86" t="str">
        <f t="shared" si="28"/>
        <v>20000-2.75575027665986E-06j</v>
      </c>
      <c r="AL116" s="86" t="str">
        <f t="shared" si="43"/>
        <v>10000-3225578.51637514j</v>
      </c>
      <c r="AM116" s="86" t="str">
        <f t="shared" si="44"/>
        <v>963.134717225786-1001043.66779133j</v>
      </c>
      <c r="AN116" s="86" t="str">
        <f t="shared" si="45"/>
        <v>10963.1347172258-1001043.66779133j</v>
      </c>
      <c r="AO116" s="86" t="str">
        <f t="shared" si="46"/>
        <v>19987.6523709637-399.201048179984j</v>
      </c>
      <c r="AP116" s="86" t="str">
        <f t="shared" si="47"/>
        <v>0.160024856527573+0.00456933964441725j</v>
      </c>
      <c r="AQ116" s="86" t="str">
        <f t="shared" si="29"/>
        <v>1+0.210814896164479j</v>
      </c>
      <c r="AR116" s="86">
        <f t="shared" si="51"/>
        <v>9.9985476169789261E-8</v>
      </c>
      <c r="AS116" s="86" t="str">
        <f t="shared" si="31"/>
        <v>8.28840121335293E-06j</v>
      </c>
      <c r="AT116" s="86" t="str">
        <f t="shared" si="32"/>
        <v>9.99854761697893E-08+8.28840121335293E-06j</v>
      </c>
      <c r="AU116" s="86" t="str">
        <f t="shared" si="33"/>
        <v>4.0329689989957-18.0489285959337j</v>
      </c>
      <c r="AW116" s="86" t="str">
        <f t="shared" si="48"/>
        <v>0.71408534248962-2.87327209640134j</v>
      </c>
      <c r="AX116" s="86">
        <f t="shared" si="34"/>
        <v>9.4278216472045493</v>
      </c>
      <c r="AY116" s="86">
        <f t="shared" si="35"/>
        <v>103.95677719925007</v>
      </c>
      <c r="AZ116" s="86" t="str">
        <f t="shared" si="36"/>
        <v>3.67232821984205-16.1410025605232j</v>
      </c>
      <c r="BA116" s="86">
        <f t="shared" si="37"/>
        <v>24.377790259491043</v>
      </c>
      <c r="BB116" s="86">
        <f t="shared" si="38"/>
        <v>102.81749186594519</v>
      </c>
      <c r="BD116" s="86" t="str">
        <f t="shared" si="39"/>
        <v>1.87988487827646-12.0785675984569j</v>
      </c>
      <c r="BE116" s="86">
        <f t="shared" si="40"/>
        <v>21.744254803278142</v>
      </c>
      <c r="BF116" s="86">
        <f t="shared" si="41"/>
        <v>98.846430205803784</v>
      </c>
      <c r="BH116" s="86">
        <f t="shared" si="49"/>
        <v>-20.744254803278142</v>
      </c>
      <c r="BI116" s="162">
        <f t="shared" si="50"/>
        <v>-98.846430205803784</v>
      </c>
      <c r="BJ116" s="88"/>
      <c r="BK116" s="88"/>
      <c r="BL116" s="88"/>
      <c r="BM116" s="88"/>
      <c r="BN116" s="42"/>
      <c r="BO116" s="42"/>
      <c r="BP116" s="42"/>
    </row>
    <row r="117" spans="1:68" s="86" customFormat="1">
      <c r="A117" s="86">
        <v>53</v>
      </c>
      <c r="B117" s="86">
        <f t="shared" si="42"/>
        <v>1148.1536214968835</v>
      </c>
      <c r="C117" s="86" t="str">
        <f t="shared" si="0"/>
        <v>7214.06196497425j</v>
      </c>
      <c r="D117" s="86">
        <f t="shared" si="1"/>
        <v>0.99998377030792784</v>
      </c>
      <c r="E117" s="86" t="str">
        <f t="shared" si="2"/>
        <v>-0.00632812453067917j</v>
      </c>
      <c r="F117" s="86" t="str">
        <f t="shared" si="3"/>
        <v>0.999983770307928-0.00632812453067917j</v>
      </c>
      <c r="G117" s="86">
        <f t="shared" si="4"/>
        <v>3.2945625262424611E-5</v>
      </c>
      <c r="H117" s="86">
        <f t="shared" si="5"/>
        <v>-0.36257587250606793</v>
      </c>
      <c r="J117" s="86">
        <f t="shared" si="6"/>
        <v>8.3707025411061284</v>
      </c>
      <c r="K117" s="86" t="str">
        <f t="shared" si="7"/>
        <v>1+0.309715138860555j</v>
      </c>
      <c r="L117" s="86">
        <f t="shared" si="8"/>
        <v>0.99392162384173421</v>
      </c>
      <c r="M117" s="86" t="str">
        <f t="shared" si="9"/>
        <v>0.0212469760727758j</v>
      </c>
      <c r="N117" s="86" t="str">
        <f t="shared" si="10"/>
        <v>0.993921623841734+0.0212469760727758j</v>
      </c>
      <c r="O117" s="86" t="str">
        <f t="shared" si="11"/>
        <v>1.01231419222573+0.289969064488425j</v>
      </c>
      <c r="P117" s="86" t="str">
        <f t="shared" si="12"/>
        <v>8.47378098126172+2.42724478495543j</v>
      </c>
      <c r="R117" s="86">
        <f t="shared" si="13"/>
        <v>11.958146487294469</v>
      </c>
      <c r="S117" s="86" t="str">
        <f t="shared" si="14"/>
        <v>1+0.000541054647373069j</v>
      </c>
      <c r="T117" s="86" t="str">
        <f t="shared" si="15"/>
        <v>0.993921623841734+0.0212469760727758j</v>
      </c>
      <c r="U117" s="86" t="str">
        <f t="shared" si="16"/>
        <v>1.00566762321864-0.0209537057859956j</v>
      </c>
      <c r="V117" s="86" t="str">
        <f t="shared" si="17"/>
        <v>12.0259207559778-0.250567483240605j</v>
      </c>
      <c r="X117" s="86" t="str">
        <f t="shared" si="18"/>
        <v>0.351364086706218+0.0982437541888486j</v>
      </c>
      <c r="Y117" s="86">
        <f t="shared" si="19"/>
        <v>-8.7579402572352176</v>
      </c>
      <c r="Z117" s="86">
        <f t="shared" si="20"/>
        <v>-164.37865163357637</v>
      </c>
      <c r="AB117" s="86" t="str">
        <f t="shared" si="21"/>
        <v>5.59279621602019-0.116529361914277j</v>
      </c>
      <c r="AC117" s="86">
        <f t="shared" si="22"/>
        <v>14.95446486860904</v>
      </c>
      <c r="AD117" s="86">
        <f t="shared" si="23"/>
        <v>178.80637976786574</v>
      </c>
      <c r="AF117" s="86" t="str">
        <f t="shared" si="24"/>
        <v>4.11063551838521-0.385072855244222j</v>
      </c>
      <c r="AG117" s="86">
        <f t="shared" si="25"/>
        <v>12.316124322069143</v>
      </c>
      <c r="AH117" s="86">
        <f t="shared" si="26"/>
        <v>174.64830936708091</v>
      </c>
      <c r="AJ117" s="86" t="str">
        <f t="shared" si="27"/>
        <v>104867.08522889-3733.41460732694j</v>
      </c>
      <c r="AK117" s="86" t="str">
        <f t="shared" si="28"/>
        <v>20000-0.0000028856247859897j</v>
      </c>
      <c r="AL117" s="86" t="str">
        <f t="shared" si="43"/>
        <v>10000-3080403.56876829j</v>
      </c>
      <c r="AM117" s="86" t="str">
        <f t="shared" si="44"/>
        <v>963.134292447021-955989.470755474j</v>
      </c>
      <c r="AN117" s="86" t="str">
        <f t="shared" si="45"/>
        <v>10963.134292447-955989.470755474j</v>
      </c>
      <c r="AO117" s="86" t="str">
        <f t="shared" si="46"/>
        <v>19986.4623479048-417.976187856781j</v>
      </c>
      <c r="AP117" s="86" t="str">
        <f t="shared" si="47"/>
        <v>0.160027254562707+0.00478467232766607j</v>
      </c>
      <c r="AQ117" s="86" t="str">
        <f t="shared" si="29"/>
        <v>1+0.220750296128212j</v>
      </c>
      <c r="AR117" s="86">
        <f t="shared" si="51"/>
        <v>9.9984074936849443E-8</v>
      </c>
      <c r="AS117" s="86" t="str">
        <f t="shared" si="31"/>
        <v>8.67902152820157E-06j</v>
      </c>
      <c r="AT117" s="86" t="str">
        <f t="shared" si="32"/>
        <v>9.99840749368494E-08+8.67902152820157E-06j</v>
      </c>
      <c r="AU117" s="86" t="str">
        <f t="shared" si="33"/>
        <v>4.01381091679084-17.2368143508352j</v>
      </c>
      <c r="AW117" s="86" t="str">
        <f t="shared" si="48"/>
        <v>0.711036247003108-2.74272422246626j</v>
      </c>
      <c r="AX117" s="86">
        <f t="shared" si="34"/>
        <v>9.0461324444400972</v>
      </c>
      <c r="AY117" s="86">
        <f t="shared" si="35"/>
        <v>104.53366420808904</v>
      </c>
      <c r="AZ117" s="86" t="str">
        <f t="shared" si="36"/>
        <v>3.65707292814135-15.4223542531574j</v>
      </c>
      <c r="BA117" s="86">
        <f t="shared" si="37"/>
        <v>24.000597313049134</v>
      </c>
      <c r="BB117" s="86">
        <f t="shared" si="38"/>
        <v>103.34004397595476</v>
      </c>
      <c r="BD117" s="86" t="str">
        <f t="shared" si="39"/>
        <v>1.86666220429772-11.5481403638209j</v>
      </c>
      <c r="BE117" s="86">
        <f t="shared" si="40"/>
        <v>21.362256766509251</v>
      </c>
      <c r="BF117" s="86">
        <f t="shared" si="41"/>
        <v>99.18197357516992</v>
      </c>
      <c r="BH117" s="86">
        <f t="shared" si="49"/>
        <v>-20.362256766509251</v>
      </c>
      <c r="BI117" s="162">
        <f t="shared" si="50"/>
        <v>-99.18197357516992</v>
      </c>
      <c r="BJ117" s="88"/>
      <c r="BK117" s="88"/>
      <c r="BL117" s="88"/>
      <c r="BM117" s="88"/>
      <c r="BN117" s="42"/>
      <c r="BO117" s="42"/>
      <c r="BP117" s="42"/>
    </row>
    <row r="118" spans="1:68" s="86" customFormat="1">
      <c r="A118" s="86">
        <v>54</v>
      </c>
      <c r="B118" s="86">
        <f t="shared" si="42"/>
        <v>1202.2644346174134</v>
      </c>
      <c r="C118" s="86" t="str">
        <f t="shared" si="0"/>
        <v>7554.0502309327j</v>
      </c>
      <c r="D118" s="86">
        <f t="shared" si="1"/>
        <v>0.99998220449651287</v>
      </c>
      <c r="E118" s="86" t="str">
        <f t="shared" si="2"/>
        <v>-0.00662635985169535j</v>
      </c>
      <c r="F118" s="86" t="str">
        <f t="shared" si="3"/>
        <v>0.999982204496513-0.00662635985169535j</v>
      </c>
      <c r="G118" s="86">
        <f t="shared" si="4"/>
        <v>3.6124267550674224E-5</v>
      </c>
      <c r="H118" s="86">
        <f t="shared" si="5"/>
        <v>-0.37966365247027678</v>
      </c>
      <c r="J118" s="86">
        <f t="shared" si="6"/>
        <v>8.3707025411061284</v>
      </c>
      <c r="K118" s="86" t="str">
        <f t="shared" si="7"/>
        <v>1+0.324311563664436j</v>
      </c>
      <c r="L118" s="86">
        <f t="shared" si="8"/>
        <v>0.99333519307450502</v>
      </c>
      <c r="M118" s="86" t="str">
        <f t="shared" si="9"/>
        <v>0.0222483152055579j</v>
      </c>
      <c r="N118" s="86" t="str">
        <f t="shared" si="10"/>
        <v>0.993335193074505+0.0222483152055579j</v>
      </c>
      <c r="O118" s="86" t="str">
        <f t="shared" si="11"/>
        <v>1.01351362772939+0.30378727655424j</v>
      </c>
      <c r="P118" s="86" t="str">
        <f t="shared" si="12"/>
        <v>8.48382109908009+2.54291292780829j</v>
      </c>
      <c r="R118" s="86">
        <f t="shared" si="13"/>
        <v>11.958146487294469</v>
      </c>
      <c r="S118" s="86" t="str">
        <f t="shared" si="14"/>
        <v>1+0.000566553767319952j</v>
      </c>
      <c r="T118" s="86" t="str">
        <f t="shared" si="15"/>
        <v>0.993335193074505+0.0222483152055579j</v>
      </c>
      <c r="U118" s="86" t="str">
        <f t="shared" si="16"/>
        <v>1.00621752808058-0.021966493400116j</v>
      </c>
      <c r="V118" s="86" t="str">
        <f t="shared" si="17"/>
        <v>12.0324965988709-0.262678545890774j</v>
      </c>
      <c r="X118" s="86" t="str">
        <f t="shared" si="18"/>
        <v>0.351840781899543+0.102923718894041j</v>
      </c>
      <c r="Y118" s="86">
        <f t="shared" si="19"/>
        <v>-8.7164846843152581</v>
      </c>
      <c r="Z118" s="86">
        <f t="shared" si="20"/>
        <v>-163.69425836326201</v>
      </c>
      <c r="AB118" s="86" t="str">
        <f t="shared" si="21"/>
        <v>5.59585438927743-0.122161754371893j</v>
      </c>
      <c r="AC118" s="86">
        <f t="shared" si="22"/>
        <v>14.959397378897506</v>
      </c>
      <c r="AD118" s="86">
        <f t="shared" si="23"/>
        <v>178.7493882341528</v>
      </c>
      <c r="AF118" s="86" t="str">
        <f t="shared" si="24"/>
        <v>4.10873580099568-0.40318958435148j</v>
      </c>
      <c r="AG118" s="86">
        <f t="shared" si="25"/>
        <v>12.315784491962658</v>
      </c>
      <c r="AH118" s="86">
        <f t="shared" si="26"/>
        <v>174.39551778374545</v>
      </c>
      <c r="AJ118" s="86" t="str">
        <f t="shared" si="27"/>
        <v>104854.27964798-3908.88763474525j</v>
      </c>
      <c r="AK118" s="86" t="str">
        <f t="shared" si="28"/>
        <v>20000-3.02162009237308E-06j</v>
      </c>
      <c r="AL118" s="86" t="str">
        <f t="shared" si="43"/>
        <v>10000-2941762.57012768j</v>
      </c>
      <c r="AM118" s="86" t="str">
        <f t="shared" si="44"/>
        <v>963.133826686805-912963.055558651j</v>
      </c>
      <c r="AN118" s="86" t="str">
        <f t="shared" si="45"/>
        <v>10963.1338266868-912963.055558651j</v>
      </c>
      <c r="AO118" s="86" t="str">
        <f t="shared" si="46"/>
        <v>19985.1577668979-437.63045862025j</v>
      </c>
      <c r="AP118" s="86" t="str">
        <f t="shared" si="47"/>
        <v>0.160029883940208+0.00501015130397773j</v>
      </c>
      <c r="AQ118" s="86" t="str">
        <f t="shared" si="29"/>
        <v>1+0.231153937066541j</v>
      </c>
      <c r="AR118" s="86">
        <f t="shared" si="51"/>
        <v>9.9982538515483216E-8</v>
      </c>
      <c r="AS118" s="86" t="str">
        <f t="shared" si="31"/>
        <v>0.0000090880512113282j</v>
      </c>
      <c r="AT118" s="86" t="str">
        <f t="shared" si="32"/>
        <v>9.99825385154832E-08+0.0000090880512113282j</v>
      </c>
      <c r="AU118" s="86" t="str">
        <f t="shared" si="33"/>
        <v>3.99633811032241-16.4612228179885j</v>
      </c>
      <c r="AW118" s="86" t="str">
        <f t="shared" si="48"/>
        <v>0.70825819601117-2.61798783940795j</v>
      </c>
      <c r="AX118" s="86">
        <f t="shared" si="34"/>
        <v>8.666116093535269</v>
      </c>
      <c r="AY118" s="86">
        <f t="shared" si="35"/>
        <v>105.13815918351645</v>
      </c>
      <c r="AZ118" s="86" t="str">
        <f t="shared" si="36"/>
        <v>3.64349174750446-14.7364008059989j</v>
      </c>
      <c r="BA118" s="86">
        <f t="shared" si="37"/>
        <v>23.625513472432772</v>
      </c>
      <c r="BB118" s="86">
        <f t="shared" si="38"/>
        <v>103.88754741766924</v>
      </c>
      <c r="BD118" s="86" t="str">
        <f t="shared" si="39"/>
        <v>1.85450037749159-11.04218269001j</v>
      </c>
      <c r="BE118" s="86">
        <f t="shared" si="40"/>
        <v>20.981900585497893</v>
      </c>
      <c r="BF118" s="86">
        <f t="shared" si="41"/>
        <v>99.53367696726194</v>
      </c>
      <c r="BH118" s="86">
        <f t="shared" si="49"/>
        <v>-19.981900585497893</v>
      </c>
      <c r="BI118" s="162">
        <f t="shared" si="50"/>
        <v>-99.53367696726194</v>
      </c>
      <c r="BJ118" s="88"/>
      <c r="BK118" s="88"/>
      <c r="BL118" s="88"/>
      <c r="BM118" s="88"/>
      <c r="BN118" s="42"/>
      <c r="BO118" s="42"/>
      <c r="BP118" s="42"/>
    </row>
    <row r="119" spans="1:68" s="86" customFormat="1">
      <c r="A119" s="86">
        <v>55</v>
      </c>
      <c r="B119" s="86">
        <f t="shared" si="42"/>
        <v>1258.925411794168</v>
      </c>
      <c r="C119" s="86" t="str">
        <f t="shared" si="0"/>
        <v>7910.06165022013j</v>
      </c>
      <c r="D119" s="86">
        <f t="shared" si="1"/>
        <v>0.99998048761843694</v>
      </c>
      <c r="E119" s="86" t="str">
        <f t="shared" si="2"/>
        <v>-0.00693865057036854j</v>
      </c>
      <c r="F119" s="86" t="str">
        <f t="shared" si="3"/>
        <v>0.999980487618437-0.00693865057036854j</v>
      </c>
      <c r="G119" s="86">
        <f t="shared" si="4"/>
        <v>3.9609601318800085E-5</v>
      </c>
      <c r="H119" s="86">
        <f t="shared" si="5"/>
        <v>-0.39755677032840347</v>
      </c>
      <c r="J119" s="86">
        <f t="shared" si="6"/>
        <v>8.3707025411061284</v>
      </c>
      <c r="K119" s="86" t="str">
        <f t="shared" si="7"/>
        <v>1+0.339595896776058j</v>
      </c>
      <c r="L119" s="86">
        <f t="shared" si="8"/>
        <v>0.99269218452469066</v>
      </c>
      <c r="M119" s="86" t="str">
        <f t="shared" si="9"/>
        <v>0.0232968459977746j</v>
      </c>
      <c r="N119" s="86" t="str">
        <f t="shared" si="10"/>
        <v>0.992692184524691+0.0232968459977746j</v>
      </c>
      <c r="O119" s="86" t="str">
        <f t="shared" si="11"/>
        <v>1.01483110603355+0.318279460350868j</v>
      </c>
      <c r="P119" s="86" t="str">
        <f t="shared" si="12"/>
        <v>8.49484931806858+2.6642226875409j</v>
      </c>
      <c r="R119" s="86">
        <f t="shared" si="13"/>
        <v>11.958146487294469</v>
      </c>
      <c r="S119" s="86" t="str">
        <f t="shared" si="14"/>
        <v>1+0.00059325462376651j</v>
      </c>
      <c r="T119" s="86" t="str">
        <f t="shared" si="15"/>
        <v>0.992692184524691+0.0232968459977746j</v>
      </c>
      <c r="U119" s="86" t="str">
        <f t="shared" si="16"/>
        <v>1.00682111778642-0.0230308067908862j</v>
      </c>
      <c r="V119" s="86" t="str">
        <f t="shared" si="17"/>
        <v>12.0397144129916-0.275405761325993j</v>
      </c>
      <c r="X119" s="86" t="str">
        <f t="shared" si="18"/>
        <v>0.35236434242027+0.107831683727932j</v>
      </c>
      <c r="Y119" s="86">
        <f t="shared" si="19"/>
        <v>-8.671376429549408</v>
      </c>
      <c r="Z119" s="86">
        <f t="shared" si="20"/>
        <v>-162.98467086013551</v>
      </c>
      <c r="AB119" s="86" t="str">
        <f t="shared" si="21"/>
        <v>5.599211118822-0.128080695945758j</v>
      </c>
      <c r="AC119" s="86">
        <f t="shared" si="22"/>
        <v>14.96480873316929</v>
      </c>
      <c r="AD119" s="86">
        <f t="shared" si="23"/>
        <v>178.68960044657763</v>
      </c>
      <c r="AF119" s="86" t="str">
        <f t="shared" si="24"/>
        <v>4.10665175080785-0.42215536953444j</v>
      </c>
      <c r="AG119" s="86">
        <f t="shared" si="25"/>
        <v>12.31541043285935</v>
      </c>
      <c r="AH119" s="86">
        <f t="shared" si="26"/>
        <v>174.13072789805804</v>
      </c>
      <c r="AJ119" s="86" t="str">
        <f t="shared" si="27"/>
        <v>104840.242201836-4092.55986555203j</v>
      </c>
      <c r="AK119" s="86" t="str">
        <f t="shared" si="28"/>
        <v>20000-3.16402466008806E-06j</v>
      </c>
      <c r="AL119" s="86" t="str">
        <f t="shared" si="43"/>
        <v>10000-2809361.4443073j</v>
      </c>
      <c r="AM119" s="86" t="str">
        <f t="shared" si="44"/>
        <v>963.133315991392-871873.157405548j</v>
      </c>
      <c r="AN119" s="86" t="str">
        <f t="shared" si="45"/>
        <v>10963.1333159914-871873.157405548j</v>
      </c>
      <c r="AO119" s="86" t="str">
        <f t="shared" si="46"/>
        <v>19983.7276267455-458.204448320808j</v>
      </c>
      <c r="AP119" s="86" t="str">
        <f t="shared" si="47"/>
        <v>0.160032766976386+0.00524625445362592j</v>
      </c>
      <c r="AQ119" s="86" t="str">
        <f t="shared" si="29"/>
        <v>1+0.242047886496736j</v>
      </c>
      <c r="AR119" s="86">
        <f t="shared" si="51"/>
        <v>9.9980853862955046E-8</v>
      </c>
      <c r="AS119" s="86" t="str">
        <f t="shared" si="31"/>
        <v>9.51635786953033E-06j</v>
      </c>
      <c r="AT119" s="86" t="str">
        <f t="shared" si="32"/>
        <v>9.9980853862955E-08+9.51635786953033E-06j</v>
      </c>
      <c r="AU119" s="86" t="str">
        <f t="shared" si="33"/>
        <v>3.98040236555788-15.7205138797662j</v>
      </c>
      <c r="AW119" s="86" t="str">
        <f t="shared" si="48"/>
        <v>0.705727624600507-2.49879917057959j</v>
      </c>
      <c r="AX119" s="86">
        <f t="shared" si="34"/>
        <v>8.2879189007795269</v>
      </c>
      <c r="AY119" s="86">
        <f t="shared" si="35"/>
        <v>105.77109694093812</v>
      </c>
      <c r="AZ119" s="86" t="str">
        <f t="shared" si="36"/>
        <v>3.63147002572648-14.0816941849194j</v>
      </c>
      <c r="BA119" s="86">
        <f t="shared" si="37"/>
        <v>23.252727633948812</v>
      </c>
      <c r="BB119" s="86">
        <f t="shared" si="38"/>
        <v>104.46069738751574</v>
      </c>
      <c r="BD119" s="86" t="str">
        <f t="shared" si="39"/>
        <v>1.84329609791076-10.5596246949318j</v>
      </c>
      <c r="BE119" s="86">
        <f t="shared" si="40"/>
        <v>20.603329333638904</v>
      </c>
      <c r="BF119" s="86">
        <f t="shared" si="41"/>
        <v>99.90182483899612</v>
      </c>
      <c r="BH119" s="86">
        <f t="shared" si="49"/>
        <v>-19.603329333638904</v>
      </c>
      <c r="BI119" s="162">
        <f t="shared" si="50"/>
        <v>-99.90182483899612</v>
      </c>
      <c r="BJ119" s="88"/>
      <c r="BK119" s="88"/>
      <c r="BL119" s="88"/>
      <c r="BM119" s="88"/>
      <c r="BN119" s="42"/>
      <c r="BO119" s="42"/>
      <c r="BP119" s="42"/>
    </row>
    <row r="120" spans="1:68" s="86" customFormat="1">
      <c r="A120" s="86">
        <v>56</v>
      </c>
      <c r="B120" s="86">
        <f t="shared" si="42"/>
        <v>1318.2567385564075</v>
      </c>
      <c r="C120" s="86" t="str">
        <f t="shared" si="0"/>
        <v>8282.8513707881j</v>
      </c>
      <c r="D120" s="86">
        <f t="shared" si="1"/>
        <v>0.99997860509906122</v>
      </c>
      <c r="E120" s="86" t="str">
        <f t="shared" si="2"/>
        <v>-0.00726565909718254j</v>
      </c>
      <c r="F120" s="86" t="str">
        <f t="shared" si="3"/>
        <v>0.999978605099061-0.00726565909718254j</v>
      </c>
      <c r="G120" s="86">
        <f t="shared" si="4"/>
        <v>4.3431220007935648E-5</v>
      </c>
      <c r="H120" s="86">
        <f t="shared" si="5"/>
        <v>-0.41629318280228134</v>
      </c>
      <c r="J120" s="86">
        <f t="shared" si="6"/>
        <v>8.3707025411061284</v>
      </c>
      <c r="K120" s="86" t="str">
        <f t="shared" si="7"/>
        <v>1+0.355600558315156j</v>
      </c>
      <c r="L120" s="86">
        <f t="shared" si="8"/>
        <v>0.99198713966988561</v>
      </c>
      <c r="M120" s="86" t="str">
        <f t="shared" si="9"/>
        <v>0.0243947925238151j</v>
      </c>
      <c r="N120" s="86" t="str">
        <f t="shared" si="10"/>
        <v>0.991987139669886+0.0243947925238151j</v>
      </c>
      <c r="O120" s="86" t="str">
        <f t="shared" si="11"/>
        <v>1.01627849230649+0.333480790344732j</v>
      </c>
      <c r="P120" s="86" t="str">
        <f t="shared" si="12"/>
        <v>8.50696495802144+2.79146849914873j</v>
      </c>
      <c r="R120" s="86">
        <f t="shared" si="13"/>
        <v>11.958146487294469</v>
      </c>
      <c r="S120" s="86" t="str">
        <f t="shared" si="14"/>
        <v>1+0.000621213852809107j</v>
      </c>
      <c r="T120" s="86" t="str">
        <f t="shared" si="15"/>
        <v>0.991987139669886+0.0243947925238151j</v>
      </c>
      <c r="U120" s="86" t="str">
        <f t="shared" si="16"/>
        <v>1.00748370048135-0.0241496497621241j</v>
      </c>
      <c r="V120" s="86" t="str">
        <f t="shared" si="17"/>
        <v>12.0476376739175-0.288785049472336j</v>
      </c>
      <c r="X120" s="86" t="str">
        <f t="shared" si="18"/>
        <v>0.352939469087114+0.112979509410288j</v>
      </c>
      <c r="Y120" s="86">
        <f t="shared" si="19"/>
        <v>-8.622325611054853</v>
      </c>
      <c r="Z120" s="86">
        <f t="shared" si="20"/>
        <v>-162.24960321300381</v>
      </c>
      <c r="AB120" s="86" t="str">
        <f t="shared" si="21"/>
        <v>5.60289592471953-0.134302891620939j</v>
      </c>
      <c r="AC120" s="86">
        <f t="shared" si="22"/>
        <v>14.970745732680932</v>
      </c>
      <c r="AD120" s="86">
        <f t="shared" si="23"/>
        <v>178.62686801637147</v>
      </c>
      <c r="AF120" s="86" t="str">
        <f t="shared" si="24"/>
        <v>4.10436537393129-0.442009485030233j</v>
      </c>
      <c r="AG120" s="86">
        <f t="shared" si="25"/>
        <v>12.314998551032684</v>
      </c>
      <c r="AH120" s="86">
        <f t="shared" si="26"/>
        <v>173.85336183372092</v>
      </c>
      <c r="AJ120" s="86" t="str">
        <f t="shared" si="27"/>
        <v>104824.854767542-4284.80729503974j</v>
      </c>
      <c r="AK120" s="86" t="str">
        <f t="shared" si="28"/>
        <v>20000-3.31314054831524E-06j</v>
      </c>
      <c r="AL120" s="86" t="str">
        <f t="shared" si="43"/>
        <v>10000-2682919.35076795j</v>
      </c>
      <c r="AM120" s="86" t="str">
        <f t="shared" si="44"/>
        <v>963.132756025631-832632.61911313j</v>
      </c>
      <c r="AN120" s="86" t="str">
        <f t="shared" si="45"/>
        <v>10963.1327560256-832632.61911313j</v>
      </c>
      <c r="AO120" s="86" t="str">
        <f t="shared" si="46"/>
        <v>19982.1598751898-479.740533141286j</v>
      </c>
      <c r="AP120" s="86" t="str">
        <f t="shared" si="47"/>
        <v>0.160035928139947+0.00549348213427995j</v>
      </c>
      <c r="AQ120" s="86" t="str">
        <f t="shared" si="29"/>
        <v>1+0.253455251946116j</v>
      </c>
      <c r="AR120" s="86">
        <f t="shared" si="51"/>
        <v>9.997900667818984E-8</v>
      </c>
      <c r="AS120" s="86" t="str">
        <f t="shared" si="31"/>
        <v>9.96484999865404E-06j</v>
      </c>
      <c r="AT120" s="86" t="str">
        <f t="shared" si="32"/>
        <v>9.99790066781898E-08+9.96484999865404E-06j</v>
      </c>
      <c r="AU120" s="86" t="str">
        <f t="shared" si="33"/>
        <v>3.965868497589-15.0131207621993j</v>
      </c>
      <c r="AW120" s="86" t="str">
        <f t="shared" si="48"/>
        <v>0.703423065663353-2.38490610382511j</v>
      </c>
      <c r="AX120" s="86">
        <f t="shared" si="34"/>
        <v>7.9116982427206848</v>
      </c>
      <c r="AY120" s="86">
        <f t="shared" si="35"/>
        <v>106.43331346955151</v>
      </c>
      <c r="AZ120" s="86" t="str">
        <f t="shared" si="36"/>
        <v>3.62090644197078-13.4568524417119j</v>
      </c>
      <c r="BA120" s="86">
        <f t="shared" si="37"/>
        <v>22.882443975401628</v>
      </c>
      <c r="BB120" s="86">
        <f t="shared" si="38"/>
        <v>105.06018148592298</v>
      </c>
      <c r="BD120" s="86" t="str">
        <f t="shared" si="39"/>
        <v>1.83295415513607-10.0994456996294j</v>
      </c>
      <c r="BE120" s="86">
        <f t="shared" si="40"/>
        <v>20.226696793753366</v>
      </c>
      <c r="BF120" s="86">
        <f t="shared" si="41"/>
        <v>100.28667530327246</v>
      </c>
      <c r="BH120" s="86">
        <f t="shared" si="49"/>
        <v>-19.226696793753366</v>
      </c>
      <c r="BI120" s="162">
        <f t="shared" si="50"/>
        <v>-100.28667530327246</v>
      </c>
      <c r="BJ120" s="88"/>
      <c r="BK120" s="88"/>
      <c r="BL120" s="88"/>
      <c r="BM120" s="88"/>
      <c r="BN120" s="42"/>
      <c r="BO120" s="42"/>
      <c r="BP120" s="42"/>
    </row>
    <row r="121" spans="1:68" s="86" customFormat="1">
      <c r="A121" s="86">
        <v>57</v>
      </c>
      <c r="B121" s="86">
        <f t="shared" si="42"/>
        <v>1380.3842646028857</v>
      </c>
      <c r="C121" s="86" t="str">
        <f t="shared" si="0"/>
        <v>8673.21012961475j</v>
      </c>
      <c r="D121" s="86">
        <f t="shared" si="1"/>
        <v>0.99997654095761201</v>
      </c>
      <c r="E121" s="86" t="str">
        <f t="shared" si="2"/>
        <v>-0.00760807906106557j</v>
      </c>
      <c r="F121" s="86" t="str">
        <f t="shared" si="3"/>
        <v>0.999976540957612-0.00760807906106557j</v>
      </c>
      <c r="G121" s="86">
        <f t="shared" si="4"/>
        <v>4.7621573093909416E-5</v>
      </c>
      <c r="H121" s="86">
        <f t="shared" si="5"/>
        <v>-0.43591263580205519</v>
      </c>
      <c r="J121" s="86">
        <f t="shared" si="6"/>
        <v>8.3707025411061284</v>
      </c>
      <c r="K121" s="86" t="str">
        <f t="shared" si="7"/>
        <v>1+0.372359496314639j</v>
      </c>
      <c r="L121" s="86">
        <f t="shared" si="8"/>
        <v>0.99121407335928891</v>
      </c>
      <c r="M121" s="86" t="str">
        <f t="shared" si="9"/>
        <v>0.0255444836754655j</v>
      </c>
      <c r="N121" s="86" t="str">
        <f t="shared" si="10"/>
        <v>0.991214073359289+0.0255444836754655j</v>
      </c>
      <c r="O121" s="86" t="str">
        <f t="shared" si="11"/>
        <v>1.017868894996+0.34942861512127j</v>
      </c>
      <c r="P121" s="86" t="str">
        <f t="shared" si="12"/>
        <v>8.5202777458559+2.92496299653081j</v>
      </c>
      <c r="R121" s="86">
        <f t="shared" si="13"/>
        <v>11.958146487294469</v>
      </c>
      <c r="S121" s="86" t="str">
        <f t="shared" si="14"/>
        <v>1+0.000650490759721106j</v>
      </c>
      <c r="T121" s="86" t="str">
        <f t="shared" si="15"/>
        <v>0.991214073359289+0.0255444836754655j</v>
      </c>
      <c r="U121" s="86" t="str">
        <f t="shared" si="16"/>
        <v>1.00821112281925-0.0253262564397213j</v>
      </c>
      <c r="V121" s="86" t="str">
        <f t="shared" si="17"/>
        <v>12.0563362967922-0.302855084480972j</v>
      </c>
      <c r="X121" s="86" t="str">
        <f t="shared" si="18"/>
        <v>0.353571353301158+0.118379784310538j</v>
      </c>
      <c r="Y121" s="86">
        <f t="shared" si="19"/>
        <v>-8.5690248793194694</v>
      </c>
      <c r="Z121" s="86">
        <f t="shared" si="20"/>
        <v>-161.48885731974866</v>
      </c>
      <c r="AB121" s="86" t="str">
        <f t="shared" si="21"/>
        <v>5.60694132183177-0.140846327267349j</v>
      </c>
      <c r="AC121" s="86">
        <f t="shared" si="22"/>
        <v>14.977259817185704</v>
      </c>
      <c r="AD121" s="86">
        <f t="shared" si="23"/>
        <v>178.56103303302049</v>
      </c>
      <c r="AF121" s="86" t="str">
        <f t="shared" si="24"/>
        <v>4.10185689894409-0.462792937150516j</v>
      </c>
      <c r="AG121" s="86">
        <f t="shared" si="25"/>
        <v>12.31454484725189</v>
      </c>
      <c r="AH121" s="86">
        <f t="shared" si="26"/>
        <v>173.56281267209064</v>
      </c>
      <c r="AJ121" s="86" t="str">
        <f t="shared" si="27"/>
        <v>104807.987972031-4486.02210402649j</v>
      </c>
      <c r="AK121" s="86" t="str">
        <f t="shared" si="28"/>
        <v>20000-0.0000034692840518459j</v>
      </c>
      <c r="AL121" s="86" t="str">
        <f t="shared" si="43"/>
        <v>10000-2562168.08887683j</v>
      </c>
      <c r="AM121" s="86" t="str">
        <f t="shared" si="44"/>
        <v>963.13214203614-795158.20623857j</v>
      </c>
      <c r="AN121" s="86" t="str">
        <f t="shared" si="45"/>
        <v>10963.1321420361-795158.20623857j</v>
      </c>
      <c r="AO121" s="86" t="str">
        <f t="shared" si="46"/>
        <v>19980.4413095859-502.282943579709j</v>
      </c>
      <c r="AP121" s="86" t="str">
        <f t="shared" si="47"/>
        <v>0.160039394259519+0.00575235823375373j</v>
      </c>
      <c r="AQ121" s="86" t="str">
        <f t="shared" si="29"/>
        <v>1+0.265400229966211j</v>
      </c>
      <c r="AR121" s="86">
        <f t="shared" si="51"/>
        <v>9.9976981280370546E-8</v>
      </c>
      <c r="AS121" s="86" t="str">
        <f t="shared" si="31"/>
        <v>0.0000104344789106356j</v>
      </c>
      <c r="AT121" s="86" t="str">
        <f t="shared" si="32"/>
        <v>9.99769812803705E-08+0.0000104344789106356j</v>
      </c>
      <c r="AU121" s="86" t="str">
        <f t="shared" si="33"/>
        <v>3.95261320624558-14.3375467950759j</v>
      </c>
      <c r="AW121" s="86" t="str">
        <f t="shared" si="48"/>
        <v>0.701324968172603-2.27606767014074j</v>
      </c>
      <c r="AX121" s="86">
        <f t="shared" si="34"/>
        <v>7.5376231198777957</v>
      </c>
      <c r="AY121" s="86">
        <f t="shared" si="35"/>
        <v>107.1256406184191</v>
      </c>
      <c r="AZ121" s="86" t="str">
        <f t="shared" si="36"/>
        <v>3.61171217212804-12.8605569169855j</v>
      </c>
      <c r="BA121" s="86">
        <f t="shared" si="37"/>
        <v>22.514882937063511</v>
      </c>
      <c r="BB121" s="86">
        <f t="shared" si="38"/>
        <v>105.68667365143956</v>
      </c>
      <c r="BD121" s="86" t="str">
        <f t="shared" si="39"/>
        <v>1.82338661688277-9.660672117148j</v>
      </c>
      <c r="BE121" s="86">
        <f t="shared" si="40"/>
        <v>19.852167967129695</v>
      </c>
      <c r="BF121" s="86">
        <f t="shared" si="41"/>
        <v>100.68845329050973</v>
      </c>
      <c r="BH121" s="86">
        <f t="shared" si="49"/>
        <v>-18.852167967129695</v>
      </c>
      <c r="BI121" s="162">
        <f t="shared" si="50"/>
        <v>-100.68845329050973</v>
      </c>
      <c r="BJ121" s="88"/>
      <c r="BK121" s="88"/>
      <c r="BL121" s="88"/>
      <c r="BM121" s="88"/>
      <c r="BN121" s="42"/>
      <c r="BO121" s="42"/>
      <c r="BP121" s="42"/>
    </row>
    <row r="122" spans="1:68" s="86" customFormat="1">
      <c r="A122" s="86">
        <v>58</v>
      </c>
      <c r="B122" s="86">
        <f t="shared" si="42"/>
        <v>1445.4397707459275</v>
      </c>
      <c r="C122" s="86" t="str">
        <f t="shared" si="0"/>
        <v>9081.96592996384j</v>
      </c>
      <c r="D122" s="86">
        <f t="shared" si="1"/>
        <v>0.99997427767151914</v>
      </c>
      <c r="E122" s="86" t="str">
        <f t="shared" si="2"/>
        <v>-0.00796663678067004j</v>
      </c>
      <c r="F122" s="86" t="str">
        <f t="shared" si="3"/>
        <v>0.999974277671519-0.00796663678067004j</v>
      </c>
      <c r="G122" s="86">
        <f t="shared" si="4"/>
        <v>5.22162417730903E-5</v>
      </c>
      <c r="H122" s="86">
        <f t="shared" si="5"/>
        <v>-0.45645674879884279</v>
      </c>
      <c r="J122" s="86">
        <f t="shared" si="6"/>
        <v>8.3707025411061284</v>
      </c>
      <c r="K122" s="86" t="str">
        <f t="shared" si="7"/>
        <v>1+0.389908258728912j</v>
      </c>
      <c r="L122" s="86">
        <f t="shared" si="8"/>
        <v>0.99036642300554667</v>
      </c>
      <c r="M122" s="86" t="str">
        <f t="shared" si="9"/>
        <v>0.0267483581018001j</v>
      </c>
      <c r="N122" s="86" t="str">
        <f t="shared" si="10"/>
        <v>0.990366423005547+0.0267483581018001j</v>
      </c>
      <c r="O122" s="86" t="str">
        <f t="shared" si="11"/>
        <v>1.01961680640731+0.366162639242147j</v>
      </c>
      <c r="P122" s="86" t="str">
        <f t="shared" si="12"/>
        <v>8.53490899234818+3.06503853476237j</v>
      </c>
      <c r="R122" s="86">
        <f t="shared" si="13"/>
        <v>11.958146487294469</v>
      </c>
      <c r="S122" s="86" t="str">
        <f t="shared" si="14"/>
        <v>1+0.000681147444747288j</v>
      </c>
      <c r="T122" s="86" t="str">
        <f t="shared" si="15"/>
        <v>0.990366423005547+0.0267483581018001j</v>
      </c>
      <c r="U122" s="86" t="str">
        <f t="shared" si="16"/>
        <v>1.0090098273672-0.0265641162046532j</v>
      </c>
      <c r="V122" s="86" t="str">
        <f t="shared" si="17"/>
        <v>12.0658873227767-0.317657592880756j</v>
      </c>
      <c r="X122" s="86" t="str">
        <f t="shared" si="18"/>
        <v>0.354265732124714+0.124045884624847j</v>
      </c>
      <c r="Y122" s="86">
        <f t="shared" si="19"/>
        <v>-8.511149283247061</v>
      </c>
      <c r="Z122" s="86">
        <f t="shared" si="20"/>
        <v>-160.70233535795379</v>
      </c>
      <c r="AB122" s="86" t="str">
        <f t="shared" si="21"/>
        <v>5.61138313905883-0.147730408299129j</v>
      </c>
      <c r="AC122" s="86">
        <f t="shared" si="22"/>
        <v>14.984407537742774</v>
      </c>
      <c r="AD122" s="86">
        <f t="shared" si="23"/>
        <v>178.49192722292284</v>
      </c>
      <c r="AF122" s="86" t="str">
        <f t="shared" si="24"/>
        <v>4.09910459729698-0.484548525946296j</v>
      </c>
      <c r="AG122" s="86">
        <f t="shared" si="25"/>
        <v>12.314044865816388</v>
      </c>
      <c r="AH122" s="86">
        <f t="shared" si="26"/>
        <v>173.25844282374169</v>
      </c>
      <c r="AJ122" s="86" t="str">
        <f t="shared" si="27"/>
        <v>104789.500136074-4696.61319671532j</v>
      </c>
      <c r="AK122" s="86" t="str">
        <f t="shared" si="28"/>
        <v>20000-3.63278637198554E-06j</v>
      </c>
      <c r="AL122" s="86" t="str">
        <f t="shared" si="43"/>
        <v>10000-2446851.52901809j</v>
      </c>
      <c r="AM122" s="86" t="str">
        <f t="shared" si="44"/>
        <v>963.131468810941-759370.430527845j</v>
      </c>
      <c r="AN122" s="86" t="str">
        <f t="shared" si="45"/>
        <v>10963.1314688109-759370.430527845j</v>
      </c>
      <c r="AO122" s="86" t="str">
        <f t="shared" si="46"/>
        <v>19978.5574684082-525.877830868969j</v>
      </c>
      <c r="AP122" s="86" t="str">
        <f t="shared" si="47"/>
        <v>0.160043194751174+0.00602343127139566j</v>
      </c>
      <c r="AQ122" s="86" t="str">
        <f t="shared" si="29"/>
        <v>1+0.277908157456894j</v>
      </c>
      <c r="AR122" s="86">
        <f t="shared" si="51"/>
        <v>9.9974760475823177E-8</v>
      </c>
      <c r="AS122" s="86" t="str">
        <f t="shared" si="31"/>
        <v>0.0000109262407513616j</v>
      </c>
      <c r="AT122" s="86" t="str">
        <f t="shared" si="32"/>
        <v>9.99747604758232E-08+0.0000109262407513616j</v>
      </c>
      <c r="AU122" s="86" t="str">
        <f t="shared" si="33"/>
        <v>3.94052403206083-13.6923623099831j</v>
      </c>
      <c r="AW122" s="86" t="str">
        <f t="shared" si="48"/>
        <v>0.699415531636074-2.17205354426395j</v>
      </c>
      <c r="AX122" s="86">
        <f t="shared" si="34"/>
        <v>7.165874680005464</v>
      </c>
      <c r="AY122" s="86">
        <f t="shared" si="35"/>
        <v>107.8489000967209</v>
      </c>
      <c r="AZ122" s="86" t="str">
        <f t="shared" si="36"/>
        <v>3.60381016447685-12.2915495774751j</v>
      </c>
      <c r="BA122" s="86">
        <f t="shared" si="37"/>
        <v>22.150282217748266</v>
      </c>
      <c r="BB122" s="86">
        <f t="shared" si="38"/>
        <v>106.34082731964368</v>
      </c>
      <c r="BD122" s="86" t="str">
        <f t="shared" si="39"/>
        <v>1.81451207800081-9.24237543374579j</v>
      </c>
      <c r="BE122" s="86">
        <f t="shared" si="40"/>
        <v>19.479919545821872</v>
      </c>
      <c r="BF122" s="86">
        <f t="shared" si="41"/>
        <v>101.1073429204625</v>
      </c>
      <c r="BH122" s="86">
        <f t="shared" si="49"/>
        <v>-18.479919545821872</v>
      </c>
      <c r="BI122" s="162">
        <f t="shared" si="50"/>
        <v>-101.1073429204625</v>
      </c>
      <c r="BJ122" s="88"/>
      <c r="BK122" s="88"/>
      <c r="BL122" s="88"/>
      <c r="BM122" s="88"/>
      <c r="BN122" s="42"/>
      <c r="BO122" s="42"/>
      <c r="BP122" s="42"/>
    </row>
    <row r="123" spans="1:68" s="86" customFormat="1">
      <c r="A123" s="86">
        <v>59</v>
      </c>
      <c r="B123" s="86">
        <f t="shared" si="42"/>
        <v>1513.5612484362086</v>
      </c>
      <c r="C123" s="86" t="str">
        <f t="shared" si="0"/>
        <v>9509.98579769078j</v>
      </c>
      <c r="D123" s="86">
        <f t="shared" si="1"/>
        <v>0.99997179602766673</v>
      </c>
      <c r="E123" s="86" t="str">
        <f t="shared" si="2"/>
        <v>-0.00834209280499191j</v>
      </c>
      <c r="F123" s="86" t="str">
        <f t="shared" si="3"/>
        <v>0.999971796027667-0.00834209280499191j</v>
      </c>
      <c r="G123" s="86">
        <f t="shared" si="4"/>
        <v>5.7254241355821421E-5</v>
      </c>
      <c r="H123" s="86">
        <f t="shared" si="5"/>
        <v>-0.47796910318130043</v>
      </c>
      <c r="J123" s="86">
        <f t="shared" si="6"/>
        <v>8.3707025411061284</v>
      </c>
      <c r="K123" s="86" t="str">
        <f t="shared" si="7"/>
        <v>1+0.40828406883586j</v>
      </c>
      <c r="L123" s="86">
        <f t="shared" si="8"/>
        <v>0.98943699287471532</v>
      </c>
      <c r="M123" s="86" t="str">
        <f t="shared" si="9"/>
        <v>0.0280089693818835j</v>
      </c>
      <c r="N123" s="86" t="str">
        <f t="shared" si="10"/>
        <v>0.989436992874715+0.0280089693818835j</v>
      </c>
      <c r="O123" s="86" t="str">
        <f t="shared" si="11"/>
        <v>1.02153826124296+0.383725126196447j</v>
      </c>
      <c r="P123" s="86" t="str">
        <f t="shared" si="12"/>
        <v>8.55099291922358+3.21204888893887j</v>
      </c>
      <c r="R123" s="86">
        <f t="shared" si="13"/>
        <v>11.958146487294469</v>
      </c>
      <c r="S123" s="86" t="str">
        <f t="shared" si="14"/>
        <v>1+0.000713248934826809j</v>
      </c>
      <c r="T123" s="86" t="str">
        <f t="shared" si="15"/>
        <v>0.989436992874715+0.0280089693818835j</v>
      </c>
      <c r="U123" s="86" t="str">
        <f t="shared" si="16"/>
        <v>1.00988691668711-0.0278670021359495j</v>
      </c>
      <c r="V123" s="86" t="str">
        <f t="shared" si="17"/>
        <v>12.0763756853466-0.333237693703432j</v>
      </c>
      <c r="X123" s="86" t="str">
        <f t="shared" si="18"/>
        <v>0.355028950323849+0.129992041459253j</v>
      </c>
      <c r="Y123" s="86">
        <f t="shared" si="19"/>
        <v>-8.4483562960503313</v>
      </c>
      <c r="Z123" s="86">
        <f t="shared" si="20"/>
        <v>-159.89005286816834</v>
      </c>
      <c r="AB123" s="86" t="str">
        <f t="shared" si="21"/>
        <v>5.6162608757148-0.154976117853881j</v>
      </c>
      <c r="AC123" s="86">
        <f t="shared" si="22"/>
        <v>14.992251080381376</v>
      </c>
      <c r="AD123" s="86">
        <f t="shared" si="23"/>
        <v>178.4193710054391</v>
      </c>
      <c r="AF123" s="86" t="str">
        <f t="shared" si="24"/>
        <v>4.09608458484541-0.50732090621637j</v>
      </c>
      <c r="AG123" s="86">
        <f t="shared" si="25"/>
        <v>12.313493636293178</v>
      </c>
      <c r="AH123" s="86">
        <f t="shared" si="26"/>
        <v>172.93958228692637</v>
      </c>
      <c r="AJ123" s="86" t="str">
        <f t="shared" si="27"/>
        <v>104769.236122268-4917.00673119713j</v>
      </c>
      <c r="AK123" s="86" t="str">
        <f t="shared" si="28"/>
        <v>20000-3.80399431907632E-06j</v>
      </c>
      <c r="AL123" s="86" t="str">
        <f t="shared" si="43"/>
        <v>10000-2336725.06930749j</v>
      </c>
      <c r="AM123" s="86" t="str">
        <f t="shared" si="44"/>
        <v>963.130730635274-725193.381310467j</v>
      </c>
      <c r="AN123" s="86" t="str">
        <f t="shared" si="45"/>
        <v>10963.1307306353-725193.381310467j</v>
      </c>
      <c r="AO123" s="86" t="str">
        <f t="shared" si="46"/>
        <v>19976.4925127909-550.57333346786j</v>
      </c>
      <c r="AP123" s="86" t="str">
        <f t="shared" si="47"/>
        <v>0.160047361867882+0.00630727555026757j</v>
      </c>
      <c r="AQ123" s="86" t="str">
        <f t="shared" si="29"/>
        <v>1+0.291005565409338j</v>
      </c>
      <c r="AR123" s="86">
        <f t="shared" si="51"/>
        <v>9.9972325412059074E-8</v>
      </c>
      <c r="AS123" s="86" t="str">
        <f t="shared" si="31"/>
        <v>0.0000114411786136278j</v>
      </c>
      <c r="AT123" s="86" t="str">
        <f t="shared" si="32"/>
        <v>9.99723254120591E-08+0.0000114411786136278j</v>
      </c>
      <c r="AU123" s="86" t="str">
        <f t="shared" si="33"/>
        <v>3.92949840381541-13.0762016710995j</v>
      </c>
      <c r="AW123" s="86" t="str">
        <f t="shared" si="48"/>
        <v>0.69767855533893-2.07264356635423j</v>
      </c>
      <c r="AX123" s="86">
        <f t="shared" si="34"/>
        <v>6.7966466971292006</v>
      </c>
      <c r="AY123" s="86">
        <f t="shared" si="35"/>
        <v>108.60389675170238</v>
      </c>
      <c r="AZ123" s="86" t="str">
        <f t="shared" si="36"/>
        <v>3.59713452056685-11.7486304850336j</v>
      </c>
      <c r="BA123" s="86">
        <f t="shared" si="37"/>
        <v>21.788897777510584</v>
      </c>
      <c r="BB123" s="86">
        <f t="shared" si="38"/>
        <v>107.02326775714147</v>
      </c>
      <c r="BD123" s="86" t="str">
        <f t="shared" si="39"/>
        <v>1.80625496335464-8.84367027896486j</v>
      </c>
      <c r="BE123" s="86">
        <f t="shared" si="40"/>
        <v>19.110140333422386</v>
      </c>
      <c r="BF123" s="86">
        <f t="shared" si="41"/>
        <v>101.54347903862869</v>
      </c>
      <c r="BH123" s="86">
        <f t="shared" si="49"/>
        <v>-18.110140333422386</v>
      </c>
      <c r="BI123" s="162">
        <f t="shared" si="50"/>
        <v>-101.54347903862869</v>
      </c>
      <c r="BJ123" s="88"/>
      <c r="BK123" s="88"/>
      <c r="BL123" s="88"/>
      <c r="BM123" s="88"/>
      <c r="BN123" s="42"/>
      <c r="BO123" s="42"/>
      <c r="BP123" s="42"/>
    </row>
    <row r="124" spans="1:68" s="86" customFormat="1">
      <c r="A124" s="86">
        <v>60</v>
      </c>
      <c r="B124" s="86">
        <f t="shared" si="42"/>
        <v>1584.8931924611136</v>
      </c>
      <c r="C124" s="86" t="str">
        <f t="shared" si="0"/>
        <v>9958.17762032062j</v>
      </c>
      <c r="D124" s="86">
        <f t="shared" si="1"/>
        <v>0.99996907495929199</v>
      </c>
      <c r="E124" s="86" t="str">
        <f t="shared" si="2"/>
        <v>-0.00873524352659703j</v>
      </c>
      <c r="F124" s="86" t="str">
        <f t="shared" si="3"/>
        <v>0.999969074959292-0.00873524352659703j</v>
      </c>
      <c r="G124" s="86">
        <f t="shared" si="4"/>
        <v>6.2778352806324859E-5</v>
      </c>
      <c r="H124" s="86">
        <f t="shared" si="5"/>
        <v>-0.50049533478494013</v>
      </c>
      <c r="J124" s="86">
        <f t="shared" si="6"/>
        <v>8.3707025411061284</v>
      </c>
      <c r="K124" s="86" t="str">
        <f t="shared" si="7"/>
        <v>1+0.427525904192408j</v>
      </c>
      <c r="L124" s="86">
        <f t="shared" si="8"/>
        <v>0.98841789300142024</v>
      </c>
      <c r="M124" s="86" t="str">
        <f t="shared" si="9"/>
        <v>0.0293289914412537j</v>
      </c>
      <c r="N124" s="86" t="str">
        <f t="shared" si="10"/>
        <v>0.98841789300142+0.0293289914412537j</v>
      </c>
      <c r="O124" s="86" t="str">
        <f t="shared" si="11"/>
        <v>1.02365101580194+0.402161125497301j</v>
      </c>
      <c r="P124" s="86" t="str">
        <f t="shared" si="12"/>
        <v>8.56867815917917+3.36637115513436j</v>
      </c>
      <c r="R124" s="86">
        <f t="shared" si="13"/>
        <v>11.958146487294469</v>
      </c>
      <c r="S124" s="86" t="str">
        <f t="shared" si="14"/>
        <v>1+0.000746863321524046j</v>
      </c>
      <c r="T124" s="86" t="str">
        <f t="shared" si="15"/>
        <v>0.98841789300142+0.0293289914412537j</v>
      </c>
      <c r="U124" s="86" t="str">
        <f t="shared" si="16"/>
        <v>1.0108502249806-0.029239003542887j</v>
      </c>
      <c r="V124" s="86" t="str">
        <f t="shared" si="17"/>
        <v>12.0878950670326-0.349644287508365j</v>
      </c>
      <c r="X124" s="86" t="str">
        <f t="shared" si="18"/>
        <v>0.355868030407234+0.136233415809563j</v>
      </c>
      <c r="Y124" s="86">
        <f t="shared" si="19"/>
        <v>-8.3802860208877927</v>
      </c>
      <c r="Z124" s="86">
        <f t="shared" si="20"/>
        <v>-159.05215231576156</v>
      </c>
      <c r="AB124" s="86" t="str">
        <f t="shared" si="21"/>
        <v>5.62161809996495-0.162606197713205j</v>
      </c>
      <c r="AC124" s="86">
        <f t="shared" si="22"/>
        <v>15.000858846623931</v>
      </c>
      <c r="AD124" s="86">
        <f t="shared" si="23"/>
        <v>178.34317243088262</v>
      </c>
      <c r="AF124" s="86" t="str">
        <f t="shared" si="24"/>
        <v>4.09277060240704-0.531156647146386j</v>
      </c>
      <c r="AG124" s="86">
        <f t="shared" si="25"/>
        <v>12.312885606778357</v>
      </c>
      <c r="AH124" s="86">
        <f t="shared" si="26"/>
        <v>172.60552678276588</v>
      </c>
      <c r="AJ124" s="86" t="str">
        <f t="shared" si="27"/>
        <v>104747.026078953-5147.6466375647j</v>
      </c>
      <c r="AK124" s="86" t="str">
        <f t="shared" si="28"/>
        <v>20000-3.98327104812824E-06j</v>
      </c>
      <c r="AL124" s="86" t="str">
        <f t="shared" si="43"/>
        <v>10000-2231555.11675908j</v>
      </c>
      <c r="AM124" s="86" t="str">
        <f t="shared" si="44"/>
        <v>963.129921243051-692554.564482799j</v>
      </c>
      <c r="AN124" s="86" t="str">
        <f t="shared" si="45"/>
        <v>10963.1299212431-692554.564482799j</v>
      </c>
      <c r="AO124" s="86" t="str">
        <f t="shared" si="46"/>
        <v>19974.2290972403-576.419643185987j</v>
      </c>
      <c r="AP124" s="86" t="str">
        <f t="shared" si="47"/>
        <v>0.16005193097297+0.00660449236233945j</v>
      </c>
      <c r="AQ124" s="86" t="str">
        <f t="shared" si="29"/>
        <v>1+0.304720235181811j</v>
      </c>
      <c r="AR124" s="86">
        <f t="shared" si="51"/>
        <v>9.9969655417735534E-8</v>
      </c>
      <c r="AS124" s="86" t="str">
        <f t="shared" si="31"/>
        <v>0.0000119803847496791j</v>
      </c>
      <c r="AT124" s="86" t="str">
        <f t="shared" si="32"/>
        <v>9.99696554177355E-08+0.0000119803847496791j</v>
      </c>
      <c r="AU124" s="86" t="str">
        <f t="shared" si="33"/>
        <v>3.91944276965063-12.4877604336451j</v>
      </c>
      <c r="AW124" s="86" t="str">
        <f t="shared" si="48"/>
        <v>0.696099301106323-1.97762728394533j</v>
      </c>
      <c r="AX124" s="86">
        <f t="shared" si="34"/>
        <v>6.4301459904910532</v>
      </c>
      <c r="AY124" s="86">
        <f t="shared" si="35"/>
        <v>109.39141109623108</v>
      </c>
      <c r="AZ124" s="86" t="str">
        <f t="shared" si="36"/>
        <v>3.59162997733602-11.2306553949953j</v>
      </c>
      <c r="BA124" s="86">
        <f t="shared" si="37"/>
        <v>21.431004837114976</v>
      </c>
      <c r="BB124" s="86">
        <f t="shared" si="38"/>
        <v>107.73458352711373</v>
      </c>
      <c r="BD124" s="86" t="str">
        <f t="shared" si="39"/>
        <v>1.79854487847843-8.46371258110609j</v>
      </c>
      <c r="BE124" s="86">
        <f t="shared" si="40"/>
        <v>18.743031597269393</v>
      </c>
      <c r="BF124" s="86">
        <f t="shared" si="41"/>
        <v>101.99693787899696</v>
      </c>
      <c r="BH124" s="86">
        <f t="shared" si="49"/>
        <v>-17.743031597269393</v>
      </c>
      <c r="BI124" s="162">
        <f t="shared" si="50"/>
        <v>-101.99693787899696</v>
      </c>
      <c r="BJ124" s="88"/>
      <c r="BK124" s="88"/>
      <c r="BL124" s="88"/>
      <c r="BM124" s="88"/>
      <c r="BN124" s="42"/>
      <c r="BO124" s="42"/>
      <c r="BP124" s="42"/>
    </row>
    <row r="125" spans="1:68" s="86" customFormat="1">
      <c r="A125" s="86">
        <v>61</v>
      </c>
      <c r="B125" s="86">
        <f t="shared" si="42"/>
        <v>1659.5869074375614</v>
      </c>
      <c r="C125" s="86" t="str">
        <f t="shared" si="0"/>
        <v>10427.4920727993j</v>
      </c>
      <c r="D125" s="86">
        <f t="shared" si="1"/>
        <v>0.99996609136714876</v>
      </c>
      <c r="E125" s="86" t="str">
        <f t="shared" si="2"/>
        <v>-0.00914692287087658j</v>
      </c>
      <c r="F125" s="86" t="str">
        <f t="shared" si="3"/>
        <v>0.999966091367149-0.00914692287087658j</v>
      </c>
      <c r="G125" s="86">
        <f t="shared" si="4"/>
        <v>6.8835486409734973E-5</v>
      </c>
      <c r="H125" s="86">
        <f t="shared" si="5"/>
        <v>-0.52408323079214181</v>
      </c>
      <c r="J125" s="86">
        <f t="shared" si="6"/>
        <v>8.3707025411061284</v>
      </c>
      <c r="K125" s="86" t="str">
        <f t="shared" si="7"/>
        <v>1+0.447674579311144j</v>
      </c>
      <c r="L125" s="86">
        <f t="shared" si="8"/>
        <v>0.98730047221065997</v>
      </c>
      <c r="M125" s="86" t="str">
        <f t="shared" si="9"/>
        <v>0.0307112242236773j</v>
      </c>
      <c r="N125" s="86" t="str">
        <f t="shared" si="10"/>
        <v>0.98730047221066+0.0307112242236773j</v>
      </c>
      <c r="O125" s="86" t="str">
        <f t="shared" si="11"/>
        <v>1.02597475101575+0.421518727478205j</v>
      </c>
      <c r="P125" s="86" t="str">
        <f t="shared" si="12"/>
        <v>8.58812945543827+3.52840788322563j</v>
      </c>
      <c r="R125" s="86">
        <f t="shared" si="13"/>
        <v>11.958146487294469</v>
      </c>
      <c r="S125" s="86" t="str">
        <f t="shared" si="14"/>
        <v>1+0.000782061905459947j</v>
      </c>
      <c r="T125" s="86" t="str">
        <f t="shared" si="15"/>
        <v>0.98730047221066+0.0307112242236773j</v>
      </c>
      <c r="U125" s="86" t="str">
        <f t="shared" si="16"/>
        <v>1.01190839832187-0.030684563273217j</v>
      </c>
      <c r="V125" s="86" t="str">
        <f t="shared" si="17"/>
        <v>12.1005488588564-0.366930502519785j</v>
      </c>
      <c r="X125" s="86" t="str">
        <f t="shared" si="18"/>
        <v>0.356790751875673+0.142786182590555j</v>
      </c>
      <c r="Y125" s="86">
        <f t="shared" si="19"/>
        <v>-8.3065615938714235</v>
      </c>
      <c r="Z125" s="86">
        <f t="shared" si="20"/>
        <v>-158.1889169598152</v>
      </c>
      <c r="AB125" s="86" t="str">
        <f t="shared" si="21"/>
        <v>5.62750289502277-0.170645355784085j</v>
      </c>
      <c r="AC125" s="86">
        <f t="shared" si="22"/>
        <v>15.010306097688041</v>
      </c>
      <c r="AD125" s="86">
        <f t="shared" si="23"/>
        <v>178.26312598234034</v>
      </c>
      <c r="AF125" s="86" t="str">
        <f t="shared" si="24"/>
        <v>4.08913377299017-0.556104289691241j</v>
      </c>
      <c r="AG125" s="86">
        <f t="shared" si="25"/>
        <v>12.312214567291978</v>
      </c>
      <c r="AH125" s="86">
        <f t="shared" si="26"/>
        <v>172.25553575596041</v>
      </c>
      <c r="AJ125" s="86" t="str">
        <f t="shared" si="27"/>
        <v>104722.6840714-5388.99511771415j</v>
      </c>
      <c r="AK125" s="86" t="str">
        <f t="shared" si="28"/>
        <v>20000-4.17099682911972E-06j</v>
      </c>
      <c r="AL125" s="86" t="str">
        <f t="shared" si="43"/>
        <v>10000-2131118.59180312j</v>
      </c>
      <c r="AM125" s="86" t="str">
        <f t="shared" si="44"/>
        <v>963.12903376369-661384.748738323j</v>
      </c>
      <c r="AN125" s="86" t="str">
        <f t="shared" si="45"/>
        <v>10963.1290337637-661384.748738323j</v>
      </c>
      <c r="AO125" s="86" t="str">
        <f t="shared" si="46"/>
        <v>19971.7482285938-603.469070422346j</v>
      </c>
      <c r="AP125" s="86" t="str">
        <f t="shared" si="47"/>
        <v>0.160056940839941+0.00691571124901003j</v>
      </c>
      <c r="AQ125" s="86" t="str">
        <f t="shared" si="29"/>
        <v>1+0.319081257427659j</v>
      </c>
      <c r="AR125" s="86">
        <f t="shared" si="51"/>
        <v>9.9966727827175941E-8</v>
      </c>
      <c r="AS125" s="86" t="str">
        <f t="shared" si="31"/>
        <v>0.0000125450028880227j</v>
      </c>
      <c r="AT125" s="86" t="str">
        <f t="shared" si="32"/>
        <v>9.99667278271759E-08+0.0000125450028880227j</v>
      </c>
      <c r="AU125" s="86" t="str">
        <f t="shared" si="33"/>
        <v>3.91027180443711-11.9257926250168j</v>
      </c>
      <c r="AW125" s="86" t="str">
        <f t="shared" si="48"/>
        <v>0.694664368431321-1.88680351336909j</v>
      </c>
      <c r="AX125" s="86">
        <f t="shared" si="34"/>
        <v>6.0665927654381253</v>
      </c>
      <c r="AY125" s="86">
        <f t="shared" si="35"/>
        <v>110.21219106928692</v>
      </c>
      <c r="AZ125" s="86" t="str">
        <f t="shared" si="36"/>
        <v>3.58725148758289-10.7365334821252j</v>
      </c>
      <c r="BA125" s="86">
        <f t="shared" si="37"/>
        <v>21.076898863126182</v>
      </c>
      <c r="BB125" s="86">
        <f t="shared" si="38"/>
        <v>108.47531705162721</v>
      </c>
      <c r="BD125" s="86" t="str">
        <f t="shared" si="39"/>
        <v>1.79131600225634-8.10169780469438j</v>
      </c>
      <c r="BE125" s="86">
        <f t="shared" si="40"/>
        <v>18.378807332730112</v>
      </c>
      <c r="BF125" s="86">
        <f t="shared" si="41"/>
        <v>102.46772682524727</v>
      </c>
      <c r="BH125" s="86">
        <f t="shared" si="49"/>
        <v>-17.378807332730112</v>
      </c>
      <c r="BI125" s="162">
        <f t="shared" si="50"/>
        <v>-102.46772682524727</v>
      </c>
      <c r="BJ125" s="88"/>
      <c r="BK125" s="88"/>
      <c r="BL125" s="88"/>
      <c r="BM125" s="88"/>
      <c r="BN125" s="42"/>
      <c r="BO125" s="42"/>
      <c r="BP125" s="42"/>
    </row>
    <row r="126" spans="1:68" s="86" customFormat="1">
      <c r="A126" s="86">
        <v>62</v>
      </c>
      <c r="B126" s="86">
        <f t="shared" si="42"/>
        <v>1737.8008287493756</v>
      </c>
      <c r="C126" s="86" t="str">
        <f t="shared" si="0"/>
        <v>10918.9246340026j</v>
      </c>
      <c r="D126" s="86">
        <f t="shared" si="1"/>
        <v>0.99996281992341762</v>
      </c>
      <c r="E126" s="86" t="str">
        <f t="shared" si="2"/>
        <v>-0.00957800406491456j</v>
      </c>
      <c r="F126" s="86" t="str">
        <f t="shared" si="3"/>
        <v>0.999962819923418-0.00957800406491456j</v>
      </c>
      <c r="G126" s="86">
        <f t="shared" si="4"/>
        <v>7.5477080498492674E-5</v>
      </c>
      <c r="H126" s="86">
        <f t="shared" si="5"/>
        <v>-0.54878283121030946</v>
      </c>
      <c r="J126" s="86">
        <f t="shared" si="6"/>
        <v>8.3707025411061284</v>
      </c>
      <c r="K126" s="86" t="str">
        <f t="shared" si="7"/>
        <v>1+0.468772832233376j</v>
      </c>
      <c r="L126" s="86">
        <f t="shared" si="8"/>
        <v>0.98607524467767416</v>
      </c>
      <c r="M126" s="86" t="str">
        <f t="shared" si="9"/>
        <v>0.0321585996302048j</v>
      </c>
      <c r="N126" s="86" t="str">
        <f t="shared" si="10"/>
        <v>0.986075244677674+0.0321585996302048j</v>
      </c>
      <c r="O126" s="86" t="str">
        <f t="shared" si="11"/>
        <v>1.02853130307823+0.441849349937762j</v>
      </c>
      <c r="P126" s="86" t="str">
        <f t="shared" si="12"/>
        <v>8.60952959228414+3.69858947631012j</v>
      </c>
      <c r="R126" s="86">
        <f t="shared" si="13"/>
        <v>11.958146487294469</v>
      </c>
      <c r="S126" s="86" t="str">
        <f t="shared" si="14"/>
        <v>1+0.000818919347550195j</v>
      </c>
      <c r="T126" s="86" t="str">
        <f t="shared" si="15"/>
        <v>0.986075244677674+0.0321585996302048j</v>
      </c>
      <c r="U126" s="86" t="str">
        <f t="shared" si="16"/>
        <v>1.01307098466652-0.032208520614164j</v>
      </c>
      <c r="V126" s="86" t="str">
        <f t="shared" si="17"/>
        <v>12.1144512366699-0.385154207643217j</v>
      </c>
      <c r="X126" s="86" t="str">
        <f t="shared" si="18"/>
        <v>0.357805741115391+0.149667625058119j</v>
      </c>
      <c r="Y126" s="86">
        <f t="shared" si="19"/>
        <v>-8.2267897983945186</v>
      </c>
      <c r="Z126" s="86">
        <f t="shared" si="20"/>
        <v>-157.30078481854324</v>
      </c>
      <c r="AB126" s="86" t="str">
        <f t="shared" si="21"/>
        <v>5.63396835971414-0.179120504683227j</v>
      </c>
      <c r="AC126" s="86">
        <f t="shared" si="22"/>
        <v>15.020675670130606</v>
      </c>
      <c r="AD126" s="86">
        <f t="shared" si="23"/>
        <v>178.17901122005156</v>
      </c>
      <c r="AF126" s="86" t="str">
        <f t="shared" si="24"/>
        <v>4.08514233305934-0.582214400601375j</v>
      </c>
      <c r="AG126" s="86">
        <f t="shared" si="25"/>
        <v>12.311473561672205</v>
      </c>
      <c r="AH126" s="86">
        <f t="shared" si="26"/>
        <v>171.88883022865761</v>
      </c>
      <c r="AJ126" s="86" t="str">
        <f t="shared" si="27"/>
        <v>104696.006591091-5641.53311989159j</v>
      </c>
      <c r="AK126" s="86" t="str">
        <f t="shared" si="28"/>
        <v>20000-4.36756985360104E-06j</v>
      </c>
      <c r="AL126" s="86" t="str">
        <f t="shared" si="43"/>
        <v>10000-2035202.45510442j</v>
      </c>
      <c r="AM126" s="86" t="str">
        <f t="shared" si="44"/>
        <v>963.128060663804-631617.818718764j</v>
      </c>
      <c r="AN126" s="86" t="str">
        <f t="shared" si="45"/>
        <v>10963.1280606638-631617.818718764j</v>
      </c>
      <c r="AO126" s="86" t="str">
        <f t="shared" si="46"/>
        <v>19969.0291122349-631.776107902256j</v>
      </c>
      <c r="AP126" s="86" t="str">
        <f t="shared" si="47"/>
        <v>0.16006243398115+0.00724159131934182j</v>
      </c>
      <c r="AQ126" s="86" t="str">
        <f t="shared" si="29"/>
        <v>1+0.33411909380048j</v>
      </c>
      <c r="AR126" s="86">
        <f t="shared" si="51"/>
        <v>9.9963517787960104E-8</v>
      </c>
      <c r="AS126" s="86" t="str">
        <f t="shared" si="31"/>
        <v>0.0000131362306594295j</v>
      </c>
      <c r="AT126" s="86" t="str">
        <f t="shared" si="32"/>
        <v>9.99635177879601E-08+0.0000131362306594295j</v>
      </c>
      <c r="AU126" s="86" t="str">
        <f t="shared" si="33"/>
        <v>3.90190768672261-11.3891081437549j</v>
      </c>
      <c r="AW126" s="86" t="str">
        <f t="shared" si="48"/>
        <v>0.693361580916117-1.79997991986875j</v>
      </c>
      <c r="AX126" s="86">
        <f t="shared" si="34"/>
        <v>5.7062208562006136</v>
      </c>
      <c r="AY126" s="86">
        <f t="shared" si="35"/>
        <v>111.06694302759773</v>
      </c>
      <c r="AZ126" s="86" t="str">
        <f t="shared" si="36"/>
        <v>3.58396389705621-10.265225192963j</v>
      </c>
      <c r="BA126" s="86">
        <f t="shared" si="37"/>
        <v>20.726896526331227</v>
      </c>
      <c r="BB126" s="86">
        <f t="shared" si="38"/>
        <v>109.24595424764925</v>
      </c>
      <c r="BD126" s="86" t="str">
        <f t="shared" si="39"/>
        <v>1.78450651617648-7.75685926654571j</v>
      </c>
      <c r="BE126" s="86">
        <f t="shared" si="40"/>
        <v>18.017694417872839</v>
      </c>
      <c r="BF126" s="86">
        <f t="shared" si="41"/>
        <v>102.9557732562553</v>
      </c>
      <c r="BH126" s="86">
        <f t="shared" si="49"/>
        <v>-17.017694417872839</v>
      </c>
      <c r="BI126" s="162">
        <f t="shared" si="50"/>
        <v>-102.9557732562553</v>
      </c>
      <c r="BJ126" s="88"/>
      <c r="BK126" s="88"/>
      <c r="BL126" s="88"/>
      <c r="BM126" s="88"/>
      <c r="BN126" s="42"/>
      <c r="BO126" s="42"/>
      <c r="BP126" s="42"/>
    </row>
    <row r="127" spans="1:68" s="86" customFormat="1">
      <c r="A127" s="86">
        <v>63</v>
      </c>
      <c r="B127" s="86">
        <f t="shared" si="42"/>
        <v>1819.7008586099842</v>
      </c>
      <c r="C127" s="86" t="str">
        <f t="shared" si="0"/>
        <v>11433.5176982803j</v>
      </c>
      <c r="D127" s="86">
        <f t="shared" si="1"/>
        <v>0.99995923285669652</v>
      </c>
      <c r="E127" s="86" t="str">
        <f t="shared" si="2"/>
        <v>-0.0100294014897196j</v>
      </c>
      <c r="F127" s="86" t="str">
        <f t="shared" si="3"/>
        <v>0.999959232856697-0.0100294014897196j</v>
      </c>
      <c r="G127" s="86">
        <f t="shared" si="4"/>
        <v>8.2759538769888619E-5</v>
      </c>
      <c r="H127" s="86">
        <f t="shared" si="5"/>
        <v>-0.57464653514562991</v>
      </c>
      <c r="J127" s="86">
        <f t="shared" si="6"/>
        <v>8.3707025411061284</v>
      </c>
      <c r="K127" s="86" t="str">
        <f t="shared" si="7"/>
        <v>1+0.490865415182241j</v>
      </c>
      <c r="L127" s="86">
        <f t="shared" si="8"/>
        <v>0.98473180940244098</v>
      </c>
      <c r="M127" s="86" t="str">
        <f t="shared" si="9"/>
        <v>0.0336741877381264j</v>
      </c>
      <c r="N127" s="86" t="str">
        <f t="shared" si="10"/>
        <v>0.984731809402441+0.0336741877381264j</v>
      </c>
      <c r="O127" s="86" t="str">
        <f t="shared" si="11"/>
        <v>1.03134492612825+0.46320806148613j</v>
      </c>
      <c r="P127" s="86" t="str">
        <f t="shared" si="12"/>
        <v>8.63308159389865+3.87737689734279j</v>
      </c>
      <c r="R127" s="86">
        <f t="shared" si="13"/>
        <v>11.958146487294469</v>
      </c>
      <c r="S127" s="86" t="str">
        <f t="shared" si="14"/>
        <v>1+0.000857513827371022j</v>
      </c>
      <c r="T127" s="86" t="str">
        <f t="shared" si="15"/>
        <v>0.984731809402441+0.0336741877381264j</v>
      </c>
      <c r="U127" s="86" t="str">
        <f t="shared" si="16"/>
        <v>1.01434853501899-0.0338161607605213j</v>
      </c>
      <c r="V127" s="86" t="str">
        <f t="shared" si="17"/>
        <v>12.1297283709296-0.404378604012213j</v>
      </c>
      <c r="X127" s="86" t="str">
        <f t="shared" si="18"/>
        <v>0.358922573632929+0.156896241193983j</v>
      </c>
      <c r="Y127" s="86">
        <f t="shared" si="19"/>
        <v>-8.140561899418481</v>
      </c>
      <c r="Z127" s="86">
        <f t="shared" si="20"/>
        <v>-156.38836248209805</v>
      </c>
      <c r="AB127" s="86" t="str">
        <f t="shared" si="21"/>
        <v>5.64107317109724-0.188061036842841j</v>
      </c>
      <c r="AC127" s="86">
        <f t="shared" si="22"/>
        <v>15.032058771799232</v>
      </c>
      <c r="AD127" s="86">
        <f t="shared" si="23"/>
        <v>178.09059124328471</v>
      </c>
      <c r="AF127" s="86" t="str">
        <f t="shared" si="24"/>
        <v>4.08076133488858-0.609539621732962j</v>
      </c>
      <c r="AG127" s="86">
        <f t="shared" si="25"/>
        <v>12.310654786039802</v>
      </c>
      <c r="AH127" s="86">
        <f t="shared" si="26"/>
        <v>171.50459049387831</v>
      </c>
      <c r="AJ127" s="86" t="str">
        <f t="shared" si="27"/>
        <v>104666.770933333-5905.76077987785j</v>
      </c>
      <c r="AK127" s="86" t="str">
        <f t="shared" si="28"/>
        <v>20000-4.57340707931212E-06j</v>
      </c>
      <c r="AL127" s="86" t="str">
        <f t="shared" si="43"/>
        <v>10000-1943603.25567735j</v>
      </c>
      <c r="AM127" s="86" t="str">
        <f t="shared" si="44"/>
        <v>963.126993683256-603190.634774549j</v>
      </c>
      <c r="AN127" s="86" t="str">
        <f t="shared" si="45"/>
        <v>10963.1269936833-603190.634774549j</v>
      </c>
      <c r="AO127" s="86" t="str">
        <f t="shared" si="46"/>
        <v>19966.0489845092-661.397492188384j</v>
      </c>
      <c r="AP127" s="86" t="str">
        <f t="shared" si="47"/>
        <v>0.160068457008135+0.00758282262848041j</v>
      </c>
      <c r="AQ127" s="86" t="str">
        <f t="shared" si="29"/>
        <v>1+0.349865641567377j</v>
      </c>
      <c r="AR127" s="86">
        <f t="shared" si="51"/>
        <v>9.9959998049951183E-8</v>
      </c>
      <c r="AS127" s="86" t="str">
        <f t="shared" si="31"/>
        <v>0.0000137553221372701j</v>
      </c>
      <c r="AT127" s="86" t="str">
        <f t="shared" si="32"/>
        <v>9.99599980499512E-08+0.0000137553221372701j</v>
      </c>
      <c r="AU127" s="86" t="str">
        <f t="shared" si="33"/>
        <v>3.894279439164-10.8765702716248j</v>
      </c>
      <c r="AW127" s="86" t="str">
        <f t="shared" si="48"/>
        <v>0.692179883069315-1.71697261564267j</v>
      </c>
      <c r="AX127" s="86">
        <f t="shared" si="34"/>
        <v>5.3492778485715711</v>
      </c>
      <c r="AY127" s="86">
        <f t="shared" si="35"/>
        <v>111.95632198533549</v>
      </c>
      <c r="AZ127" s="86" t="str">
        <f t="shared" si="36"/>
        <v>3.58174171762701-9.81574022410229j</v>
      </c>
      <c r="BA127" s="86">
        <f t="shared" si="37"/>
        <v>20.381336620370799</v>
      </c>
      <c r="BB127" s="86">
        <f t="shared" si="38"/>
        <v>110.04691322862018</v>
      </c>
      <c r="BD127" s="86" t="str">
        <f t="shared" si="39"/>
        <v>1.77805806495227-7.42846652707435j</v>
      </c>
      <c r="BE127" s="86">
        <f t="shared" si="40"/>
        <v>17.659932634611366</v>
      </c>
      <c r="BF127" s="86">
        <f t="shared" si="41"/>
        <v>103.46091247921379</v>
      </c>
      <c r="BH127" s="86">
        <f t="shared" si="49"/>
        <v>-16.659932634611366</v>
      </c>
      <c r="BI127" s="162">
        <f t="shared" si="50"/>
        <v>-103.46091247921379</v>
      </c>
      <c r="BJ127" s="88"/>
      <c r="BK127" s="88"/>
      <c r="BL127" s="88"/>
      <c r="BM127" s="88"/>
      <c r="BN127" s="42"/>
      <c r="BO127" s="42"/>
      <c r="BP127" s="42"/>
    </row>
    <row r="128" spans="1:68" s="86" customFormat="1">
      <c r="A128" s="86">
        <v>64</v>
      </c>
      <c r="B128" s="86">
        <f t="shared" ref="B128:B191" si="52">Fstart*10^(Step*A128)</f>
        <v>1905.4607179632476</v>
      </c>
      <c r="C128" s="86" t="str">
        <f t="shared" ref="C128:C191" si="53">COMPLEX(0,2*PI()*B128,"j")</f>
        <v>11972.3627865145j</v>
      </c>
      <c r="D128" s="86">
        <f t="shared" ref="D128:D191" si="54">(IMPRODUCT(C128,C128))/wn^2 + 1</f>
        <v>0.99995529971624864</v>
      </c>
      <c r="E128" s="86" t="str">
        <f t="shared" ref="E128:E191" si="55">IMDIV(C128,wn*Qn)</f>
        <v>-0.0105020726197496j</v>
      </c>
      <c r="F128" s="86" t="str">
        <f t="shared" ref="F128:F191" si="56">IMSUM(D128,E128)</f>
        <v>0.999955299716249-0.0105020726197496j</v>
      </c>
      <c r="G128" s="86">
        <f t="shared" ref="G128:G191" si="57">20*LOG(IMABS(F128),10)</f>
        <v>9.0744709895961768E-5</v>
      </c>
      <c r="H128" s="86">
        <f t="shared" ref="H128:H191" si="58">(IMARGUMENT(F128)*(180/PI()))</f>
        <v>-0.6017292121003619</v>
      </c>
      <c r="J128" s="86">
        <f t="shared" ref="J128:J191" si="59">Vin/(Rout+DCR/1000)</f>
        <v>8.3707025411061284</v>
      </c>
      <c r="K128" s="86" t="str">
        <f t="shared" ref="K128:K191" si="60">IMSUM(1,IMPRODUCT(C128,ncap*(Cap*10^-6)*(Rout+(ESR/(ncap*1000)))))</f>
        <v>1+0.513999189488181j</v>
      </c>
      <c r="L128" s="86">
        <f t="shared" ref="L128:L191" si="61">(IMPRODUCT(C128,C128))/Gdo^2 + 1</f>
        <v>0.98325876191521833</v>
      </c>
      <c r="M128" s="86" t="str">
        <f t="shared" ref="M128:M191" si="62">IMDIV(C128,Q*Gdo)</f>
        <v>0.0352612033130177j</v>
      </c>
      <c r="N128" s="86" t="str">
        <f t="shared" ref="N128:N191" si="63">IMSUM(L128,M128)</f>
        <v>0.983258761915218+0.0352612033130177j</v>
      </c>
      <c r="O128" s="86" t="str">
        <f t="shared" ref="O128:O191" si="64">IMDIV(K128,N128)</f>
        <v>1.03444259229764+0.485653947283822j</v>
      </c>
      <c r="P128" s="86" t="str">
        <f t="shared" ref="P128:P191" si="65">IMPRODUCT(J128,O128)</f>
        <v>8.65901123597427+4.06526473062691j</v>
      </c>
      <c r="R128" s="86">
        <f t="shared" ref="R128:R191" si="66">Vin/(1+((DCR*10^-3)/Rout))</f>
        <v>11.958146487294469</v>
      </c>
      <c r="S128" s="86" t="str">
        <f t="shared" ref="S128:S191" si="67">IMSUM(1,IMPRODUCT(C128,ncap*(Cap*10^-6)*(ESR/(ncap*1000))))</f>
        <v>1+0.000897927208988587j</v>
      </c>
      <c r="T128" s="86" t="str">
        <f t="shared" ref="T128:T191" si="68">IMSUM(L128,M128)</f>
        <v>0.983258761915218+0.0352612033130177j</v>
      </c>
      <c r="U128" s="86" t="str">
        <f t="shared" ref="U128:U191" si="69">IMDIV(S128,T128)</f>
        <v>1.01575271737192-0.0355132720160024j</v>
      </c>
      <c r="V128" s="86" t="str">
        <f t="shared" ref="V128:V191" si="70">IMPRODUCT(R128,U128)</f>
        <v>12.1465197892008-0.424672909010492j</v>
      </c>
      <c r="X128" s="86" t="str">
        <f t="shared" ref="X128:X191" si="71">IMPRODUCT(Fm,Dmax,P128,F128)</f>
        <v>0.360151890650612+0.164491863890831j</v>
      </c>
      <c r="Y128" s="86">
        <f t="shared" ref="Y128:Y191" si="72">20*LOG(IMABS(X128),10)</f>
        <v>-8.0474546992407721</v>
      </c>
      <c r="Z128" s="86">
        <f t="shared" ref="Z128:Z191" si="73">IF((IMARGUMENT(X128)*(180/PI()))&lt;0,(IMARGUMENT(X128)*(180/PI()))+180,(IMARGUMENT(X128)*(180/PI()))-180)</f>
        <v>-155.45243848753194</v>
      </c>
      <c r="AB128" s="86" t="str">
        <f t="shared" ref="AB128:AB191" si="74">IMPRODUCT(Fm,V128)</f>
        <v>5.64888221811113-0.1974991426232j</v>
      </c>
      <c r="AC128" s="86">
        <f t="shared" ref="AC128:AC191" si="75">20*LOG(IMABS(AB128),10)</f>
        <v>15.044555868237353</v>
      </c>
      <c r="AD128" s="86">
        <f t="shared" ref="AD128:AD191" si="76">IF((IMARGUMENT(AB128)*(180/PI()))&lt;0,(IMARGUMENT(AB128)*(180/PI()))+180,(IMARGUMENT(AB128)*(180/PI()))-180)</f>
        <v>177.99761094011302</v>
      </c>
      <c r="AF128" s="86" t="str">
        <f t="shared" ref="AF128:AF191" si="77">IMDIV(AB128,IMSUM(1,X128))</f>
        <v>4.07595231670076-0.638134712963773j</v>
      </c>
      <c r="AG128" s="86">
        <f t="shared" ref="AG128:AG191" si="78">20*LOG(IMABS(AF128),10)</f>
        <v>12.309749471556993</v>
      </c>
      <c r="AH128" s="86">
        <f t="shared" ref="AH128:AH191" si="79">IF((IMARGUMENT(AF128)*(180/PI()))&lt;0,(IMARGUMENT(AF128)*(180/PI()))+180,(IMARGUMENT(AF128)*(180/PI()))-180)</f>
        <v>171.1019536335578</v>
      </c>
      <c r="AJ128" s="86" t="str">
        <f t="shared" ref="AJ128:AJ191" si="80">IMDIV(_Rfb1,IMSUM(1,IMPRODUCT(C128,_Cfb1*_Rfb1)))</f>
        <v>104634.733432924-6182.19781937864j</v>
      </c>
      <c r="AK128" s="86" t="str">
        <f t="shared" ref="AK128:AK191" si="81">IMDIV(_Rfb2,IMSUM(1,IMPRODUCT(C128,_Cfb2*_Rfb2)))</f>
        <v>20000-0.0000047889451146058j</v>
      </c>
      <c r="AL128" s="86" t="str">
        <f t="shared" si="43"/>
        <v>10000-1856126.699339j</v>
      </c>
      <c r="AM128" s="86" t="str">
        <f t="shared" si="44"/>
        <v>963.125823765061-576042.899037136j</v>
      </c>
      <c r="AN128" s="86" t="str">
        <f t="shared" si="45"/>
        <v>10963.1258237651-576042.899037136j</v>
      </c>
      <c r="AO128" s="86" t="str">
        <f t="shared" si="46"/>
        <v>19962.7829302118-692.392262116864j</v>
      </c>
      <c r="AP128" s="86" t="str">
        <f t="shared" si="47"/>
        <v>0.160075061026617+0.00794012761880612j</v>
      </c>
      <c r="AQ128" s="86" t="str">
        <f t="shared" ref="AQ128:AQ191" si="82">IMSUM(1,IMPRODUCT(C128,_res1*_Cap1))</f>
        <v>1+0.366354301267344j</v>
      </c>
      <c r="AR128" s="86">
        <f t="shared" ref="AR128:AR191" si="83">(IMPRODUCT(C128,C128))*_res1*_Cap1*_cap2 + (1/Roerr)</f>
        <v>9.9956138733968272E-8</v>
      </c>
      <c r="AS128" s="86" t="str">
        <f t="shared" ref="AS128:AS191" si="84">IMPRODUCT(C128,(_Cap1+_cap2+(_Cap1*_res1/Roerr)))</f>
        <v>0.000014403590497572j</v>
      </c>
      <c r="AT128" s="86" t="str">
        <f t="shared" ref="AT128:AT191" si="85">IMSUM(AR128,AS128)</f>
        <v>9.99561387339683E-08+0.000014403590497572j</v>
      </c>
      <c r="AU128" s="86" t="str">
        <f t="shared" ref="AU128:AU191" si="86">IMPRODUCT(EA_BW,IMDIV(AQ128,AT128))</f>
        <v>3.88732232688099-10.3870932942318j</v>
      </c>
      <c r="AW128" s="86" t="str">
        <f t="shared" si="48"/>
        <v>0.691109246588753-1.63760577507992j</v>
      </c>
      <c r="AX128" s="86">
        <f t="shared" ref="AX128:AX191" si="87">20*LOG(IMABS(AW128),10)</f>
        <v>4.996025058813788</v>
      </c>
      <c r="AY128" s="86">
        <f t="shared" ref="AY128:AY191" si="88">IF((IMARGUMENT(AW128)*(180/PI()))&lt;0,(IMARGUMENT(AW128)*(180/PI()))+180,(IMARGUMENT(AW128)*(180/PI()))-180)</f>
        <v>112.88092114165359</v>
      </c>
      <c r="AZ128" s="86" t="str">
        <f t="shared" ref="AZ128:AZ191" si="89">IMPRODUCT(AW128,Fm,V128)</f>
        <v>3.5805689972943-9.3871356267853j</v>
      </c>
      <c r="BA128" s="86">
        <f t="shared" ref="BA128:BA191" si="90">20*LOG(IMABS(AZ128),10)</f>
        <v>20.040580927051145</v>
      </c>
      <c r="BB128" s="86">
        <f t="shared" ref="BB128:BB191" si="91">IF((IMARGUMENT(AZ128)*(180/PI()))&lt;0,(IMARGUMENT(AZ128)*(180/PI()))+180,(IMARGUMENT(AZ128)*(180/PI()))-180)</f>
        <v>110.87853208176661</v>
      </c>
      <c r="BD128" s="86" t="str">
        <f t="shared" ref="BD128:BD191" si="92">IMDIV(AZ128,IMSUM(1,X128))</f>
        <v>1.77191524349831-7.11582385347807j</v>
      </c>
      <c r="BE128" s="86">
        <f t="shared" ref="BE128:BE191" si="93">20*LOG(IMABS(BD128),10)</f>
        <v>17.305774530370787</v>
      </c>
      <c r="BF128" s="86">
        <f t="shared" ref="BF128:BF191" si="94">IF((IMARGUMENT(BD128)*(180/PI()))&lt;0,(IMARGUMENT(BD128)*(180/PI()))+180,(IMARGUMENT(BD128)*(180/PI()))-180)</f>
        <v>103.98287477521143</v>
      </c>
      <c r="BH128" s="86">
        <f t="shared" si="49"/>
        <v>-16.305774530370787</v>
      </c>
      <c r="BI128" s="162">
        <f t="shared" si="50"/>
        <v>-103.98287477521143</v>
      </c>
      <c r="BJ128" s="88"/>
      <c r="BK128" s="88"/>
      <c r="BL128" s="88"/>
      <c r="BM128" s="88"/>
      <c r="BN128" s="42"/>
      <c r="BO128" s="42"/>
      <c r="BP128" s="42"/>
    </row>
    <row r="129" spans="1:68" s="86" customFormat="1">
      <c r="A129" s="86">
        <v>65</v>
      </c>
      <c r="B129" s="86">
        <f t="shared" si="52"/>
        <v>1995.2623149688804</v>
      </c>
      <c r="C129" s="86" t="str">
        <f t="shared" si="53"/>
        <v>12536.6028613816j</v>
      </c>
      <c r="D129" s="86">
        <f t="shared" si="54"/>
        <v>0.99995098711350527</v>
      </c>
      <c r="E129" s="86" t="str">
        <f t="shared" si="55"/>
        <v>-0.0109970200538435j</v>
      </c>
      <c r="F129" s="86" t="str">
        <f t="shared" si="56"/>
        <v>0.999950987113505-0.0109970200538435j</v>
      </c>
      <c r="G129" s="86">
        <f t="shared" si="57"/>
        <v>9.9500413481464284E-5</v>
      </c>
      <c r="H129" s="86">
        <f t="shared" si="58"/>
        <v>-0.63008831853264835</v>
      </c>
      <c r="J129" s="86">
        <f t="shared" si="59"/>
        <v>8.3707025411061284</v>
      </c>
      <c r="K129" s="86" t="str">
        <f t="shared" si="60"/>
        <v>1+0.538223224988101j</v>
      </c>
      <c r="L129" s="86">
        <f t="shared" si="61"/>
        <v>0.98164359746359486</v>
      </c>
      <c r="M129" s="86" t="str">
        <f t="shared" si="62"/>
        <v>0.0369230126276879j</v>
      </c>
      <c r="N129" s="86" t="str">
        <f t="shared" si="63"/>
        <v>0.981643597463595+0.0369230126276879j</v>
      </c>
      <c r="O129" s="86" t="str">
        <f t="shared" si="64"/>
        <v>1.0378543354794+0.509250523861369j</v>
      </c>
      <c r="P129" s="86" t="str">
        <f t="shared" si="65"/>
        <v>8.68756992329543+4.26278465414599j</v>
      </c>
      <c r="R129" s="86">
        <f t="shared" si="66"/>
        <v>11.958146487294469</v>
      </c>
      <c r="S129" s="86" t="str">
        <f t="shared" si="67"/>
        <v>1+0.00094024521460362j</v>
      </c>
      <c r="T129" s="86" t="str">
        <f t="shared" si="68"/>
        <v>0.981643597463595+0.0369230126276879j</v>
      </c>
      <c r="U129" s="86" t="str">
        <f t="shared" si="69"/>
        <v>1.0172964453074-0.0373062121285234j</v>
      </c>
      <c r="V129" s="86" t="str">
        <f t="shared" si="70"/>
        <v>12.1649799139898-0.446113149518964j</v>
      </c>
      <c r="X129" s="86" t="str">
        <f t="shared" si="71"/>
        <v>0.361505532473321+0.172475797094451j</v>
      </c>
      <c r="Y129" s="86">
        <f t="shared" si="72"/>
        <v>-7.9470318072084654</v>
      </c>
      <c r="Z129" s="86">
        <f t="shared" si="73"/>
        <v>-154.49399593994562</v>
      </c>
      <c r="AB129" s="86" t="str">
        <f t="shared" si="74"/>
        <v>5.6574673167628-0.20747017922152j</v>
      </c>
      <c r="AC129" s="86">
        <f t="shared" si="75"/>
        <v>15.058277671194237</v>
      </c>
      <c r="AD129" s="86">
        <f t="shared" si="76"/>
        <v>177.89979499002013</v>
      </c>
      <c r="AF129" s="86" t="str">
        <f t="shared" si="77"/>
        <v>4.07067293689857-0.668056586646102j</v>
      </c>
      <c r="AG129" s="86">
        <f t="shared" si="78"/>
        <v>12.308747748791617</v>
      </c>
      <c r="AH129" s="86">
        <f t="shared" si="79"/>
        <v>170.68001084483703</v>
      </c>
      <c r="AJ129" s="86" t="str">
        <f t="shared" si="80"/>
        <v>104599.627547032-6471.38389067751j</v>
      </c>
      <c r="AK129" s="86" t="str">
        <f t="shared" si="81"/>
        <v>20000-5.01464114455264E-06j</v>
      </c>
      <c r="AL129" s="86" t="str">
        <f t="shared" ref="AL129:AL192" si="95">IMDIV(IMSUM(1,IMPRODUCT(C129,10000,0.000000000045)),IMPRODUCT(C129,0.000000000045))</f>
        <v>10000-1772587.23658518j</v>
      </c>
      <c r="AM129" s="86" t="str">
        <f t="shared" ref="AM129:AM192" si="96">IMDIV(AL129,IMSUM(1,IMPRODUCT(C129,AL129,0.0000000001)))</f>
        <v>963.124540978539-550117.027519154j</v>
      </c>
      <c r="AN129" s="86" t="str">
        <f t="shared" ref="AN129:AN192" si="97">IMSUM(10000,AM129)</f>
        <v>10963.1245409785-550117.027519154j</v>
      </c>
      <c r="AO129" s="86" t="str">
        <f t="shared" ref="AO129:AO192" si="98">IMDIV(IMPRODUCT(AN129,AK129),IMSUM(AN129,AK129))</f>
        <v>19959.2036839554-724.821813167052j</v>
      </c>
      <c r="AP129" s="86" t="str">
        <f t="shared" ref="AP129:AP192" si="99">IMDIV(AK129,IMSUM(AJ129,AK129))</f>
        <v>0.160082302069528+0.00831426262644639j</v>
      </c>
      <c r="AQ129" s="86" t="str">
        <f t="shared" si="82"/>
        <v>1+0.383620047558277j</v>
      </c>
      <c r="AR129" s="86">
        <f t="shared" si="83"/>
        <v>9.9951907078140974E-8</v>
      </c>
      <c r="AS129" s="86" t="str">
        <f t="shared" si="84"/>
        <v>0.0000150824108044424j</v>
      </c>
      <c r="AT129" s="86" t="str">
        <f t="shared" si="85"/>
        <v>9.9951907078141E-08+0.0000150824108044424j</v>
      </c>
      <c r="AU129" s="86" t="str">
        <f t="shared" si="86"/>
        <v>3.88097730865354-9.91964022572611j</v>
      </c>
      <c r="AW129" s="86" t="str">
        <f t="shared" ref="AW129:AW192" si="100">IMDIV(IMPRODUCT(AP129,AU129),IMPRODUCT(IMSUM(1,IMPRODUCT(C129,1/1500000)),IMSUM(1,IMPRODUCT(C129,1/35000000))))</f>
        <v>0.690140585338821-1.56171126647292j</v>
      </c>
      <c r="AX129" s="86">
        <f t="shared" si="87"/>
        <v>4.6467373438531823</v>
      </c>
      <c r="AY129" s="86">
        <f t="shared" si="88"/>
        <v>113.84126076299287</v>
      </c>
      <c r="AZ129" s="86" t="str">
        <f t="shared" si="89"/>
        <v>3.58043928917852-8.97851403921907j</v>
      </c>
      <c r="BA129" s="86">
        <f t="shared" si="90"/>
        <v>19.705015015047415</v>
      </c>
      <c r="BB129" s="86">
        <f t="shared" si="91"/>
        <v>111.74105575301299</v>
      </c>
      <c r="BD129" s="86" t="str">
        <f t="shared" si="92"/>
        <v>1.76602510538741-6.81826875142829j</v>
      </c>
      <c r="BE129" s="86">
        <f t="shared" si="93"/>
        <v>16.955485092644782</v>
      </c>
      <c r="BF129" s="86">
        <f t="shared" si="94"/>
        <v>104.52127160782987</v>
      </c>
      <c r="BH129" s="86">
        <f t="shared" ref="BH129:BH192" si="101">1-BE129</f>
        <v>-15.955485092644782</v>
      </c>
      <c r="BI129" s="162">
        <f t="shared" ref="BI129:BI192" si="102">+-1*BF129</f>
        <v>-104.52127160782987</v>
      </c>
      <c r="BJ129" s="88"/>
      <c r="BK129" s="88"/>
      <c r="BL129" s="88"/>
      <c r="BM129" s="88"/>
      <c r="BN129" s="42"/>
      <c r="BO129" s="42"/>
      <c r="BP129" s="42"/>
    </row>
    <row r="130" spans="1:68" s="86" customFormat="1">
      <c r="A130" s="86">
        <v>66</v>
      </c>
      <c r="B130" s="86">
        <f t="shared" si="52"/>
        <v>2089.2961308540398</v>
      </c>
      <c r="C130" s="86" t="str">
        <f t="shared" si="53"/>
        <v>13127.4347517293j</v>
      </c>
      <c r="D130" s="86">
        <f t="shared" si="54"/>
        <v>0.9999462584386285</v>
      </c>
      <c r="E130" s="86" t="str">
        <f t="shared" si="55"/>
        <v>-0.0115152936418678j</v>
      </c>
      <c r="F130" s="86" t="str">
        <f t="shared" si="56"/>
        <v>0.999946258438628-0.0115152936418678j</v>
      </c>
      <c r="G130" s="86">
        <f t="shared" si="57"/>
        <v>1.0910101694204207E-4</v>
      </c>
      <c r="H130" s="86">
        <f t="shared" si="58"/>
        <v>-0.65978401992939917</v>
      </c>
      <c r="J130" s="86">
        <f t="shared" si="59"/>
        <v>8.3707025411061284</v>
      </c>
      <c r="K130" s="86" t="str">
        <f t="shared" si="60"/>
        <v>1+0.563588904109064j</v>
      </c>
      <c r="L130" s="86">
        <f t="shared" si="61"/>
        <v>0.97987260485920413</v>
      </c>
      <c r="M130" s="86" t="str">
        <f t="shared" si="62"/>
        <v>0.038663140602496j</v>
      </c>
      <c r="N130" s="86" t="str">
        <f t="shared" si="63"/>
        <v>0.979872604859204+0.038663140602496j</v>
      </c>
      <c r="O130" s="86" t="str">
        <f t="shared" si="64"/>
        <v>1.04161364644924+0.534066210901072j</v>
      </c>
      <c r="P130" s="86" t="str">
        <f t="shared" si="65"/>
        <v>8.71903799718347+4.47050938870852j</v>
      </c>
      <c r="R130" s="86">
        <f t="shared" si="66"/>
        <v>11.958146487294469</v>
      </c>
      <c r="S130" s="86" t="str">
        <f t="shared" si="67"/>
        <v>1+0.000984557606379698j</v>
      </c>
      <c r="T130" s="86" t="str">
        <f t="shared" si="68"/>
        <v>0.979872604859204+0.038663140602496j</v>
      </c>
      <c r="U130" s="86" t="str">
        <f t="shared" si="69"/>
        <v>1.01899402348145-0.0392019854480023j</v>
      </c>
      <c r="V130" s="86" t="str">
        <f t="shared" si="70"/>
        <v>12.1852798024688-0.468783084579998j</v>
      </c>
      <c r="X130" s="86" t="str">
        <f t="shared" si="71"/>
        <v>0.362996691516612+0.180870970439859j</v>
      </c>
      <c r="Y130" s="86">
        <f t="shared" si="72"/>
        <v>-7.8388451048116234</v>
      </c>
      <c r="Z130" s="86">
        <f t="shared" si="73"/>
        <v>-153.51422404162889</v>
      </c>
      <c r="AB130" s="86" t="str">
        <f t="shared" si="74"/>
        <v>5.66690801920668-0.218013099767853j</v>
      </c>
      <c r="AC130" s="86">
        <f t="shared" si="75"/>
        <v>15.073346242661742</v>
      </c>
      <c r="AD130" s="86">
        <f t="shared" si="76"/>
        <v>177.79684557765918</v>
      </c>
      <c r="AF130" s="86" t="str">
        <f t="shared" si="77"/>
        <v>4.06487656825761-0.699364331050714j</v>
      </c>
      <c r="AG130" s="86">
        <f t="shared" si="78"/>
        <v>12.307638490510836</v>
      </c>
      <c r="AH130" s="86">
        <f t="shared" si="79"/>
        <v>170.23780455673051</v>
      </c>
      <c r="AJ130" s="86" t="str">
        <f t="shared" si="80"/>
        <v>104561.161774006-6773.87885489738j</v>
      </c>
      <c r="AK130" s="86" t="str">
        <f t="shared" si="81"/>
        <v>20000-5.25097390069172E-06j</v>
      </c>
      <c r="AL130" s="86" t="str">
        <f t="shared" si="95"/>
        <v>10000-1692807.66901506j</v>
      </c>
      <c r="AM130" s="86" t="str">
        <f t="shared" si="96"/>
        <v>963.123134435021-525358.027971052j</v>
      </c>
      <c r="AN130" s="86" t="str">
        <f t="shared" si="97"/>
        <v>10963.123134435-525358.027971052j</v>
      </c>
      <c r="AO130" s="86" t="str">
        <f t="shared" si="98"/>
        <v>19955.2814141565-758.749946611173j</v>
      </c>
      <c r="AP130" s="86" t="str">
        <f t="shared" si="99"/>
        <v>0.160090241571698+0.00870601945584855j</v>
      </c>
      <c r="AQ130" s="86" t="str">
        <f t="shared" si="82"/>
        <v>1+0.401699503402917j</v>
      </c>
      <c r="AR130" s="86">
        <f t="shared" si="83"/>
        <v>9.9947267159792756E-8</v>
      </c>
      <c r="AS130" s="86" t="str">
        <f t="shared" si="84"/>
        <v>0.000015793222926763j</v>
      </c>
      <c r="AT130" s="86" t="str">
        <f t="shared" si="85"/>
        <v>9.99472671597928E-08+0.000015793222926763j</v>
      </c>
      <c r="AU130" s="86" t="str">
        <f t="shared" si="86"/>
        <v>3.87519053632975-9.47322063330333j</v>
      </c>
      <c r="AW130" s="86" t="str">
        <f t="shared" si="100"/>
        <v>0.689265678304222-1.48912829951505j</v>
      </c>
      <c r="AX130" s="86">
        <f t="shared" si="87"/>
        <v>4.301702717133578</v>
      </c>
      <c r="AY130" s="86">
        <f t="shared" si="88"/>
        <v>114.83777651851716</v>
      </c>
      <c r="AZ130" s="86" t="str">
        <f t="shared" si="89"/>
        <v>3.58135572321682-8.58902204924015j</v>
      </c>
      <c r="BA130" s="86">
        <f t="shared" si="90"/>
        <v>19.375048959795333</v>
      </c>
      <c r="BB130" s="86">
        <f t="shared" si="91"/>
        <v>112.63462209617632</v>
      </c>
      <c r="BD130" s="86" t="str">
        <f t="shared" si="92"/>
        <v>1.76033668800399-6.53517056185148j</v>
      </c>
      <c r="BE130" s="86">
        <f t="shared" si="93"/>
        <v>16.60934120764442</v>
      </c>
      <c r="BF130" s="86">
        <f t="shared" si="94"/>
        <v>105.07558107524765</v>
      </c>
      <c r="BH130" s="86">
        <f t="shared" si="101"/>
        <v>-15.60934120764442</v>
      </c>
      <c r="BI130" s="162">
        <f t="shared" si="102"/>
        <v>-105.07558107524765</v>
      </c>
      <c r="BJ130" s="88"/>
      <c r="BK130" s="88"/>
      <c r="BL130" s="88"/>
      <c r="BM130" s="88"/>
      <c r="BN130" s="42"/>
      <c r="BO130" s="42"/>
      <c r="BP130" s="42"/>
    </row>
    <row r="131" spans="1:68" s="86" customFormat="1">
      <c r="A131" s="86">
        <v>67</v>
      </c>
      <c r="B131" s="86">
        <f t="shared" si="52"/>
        <v>2187.7616239495537</v>
      </c>
      <c r="C131" s="86" t="str">
        <f t="shared" si="53"/>
        <v>13746.1116912112j</v>
      </c>
      <c r="D131" s="86">
        <f t="shared" si="54"/>
        <v>0.99994107354972939</v>
      </c>
      <c r="E131" s="86" t="str">
        <f t="shared" si="55"/>
        <v>-0.0120579927115888j</v>
      </c>
      <c r="F131" s="86" t="str">
        <f t="shared" si="56"/>
        <v>0.999941073549729-0.0120579927115888j</v>
      </c>
      <c r="G131" s="86">
        <f t="shared" si="57"/>
        <v>1.1962806813847655E-4</v>
      </c>
      <c r="H131" s="86">
        <f t="shared" si="58"/>
        <v>-0.69087931865500651</v>
      </c>
      <c r="J131" s="86">
        <f t="shared" si="59"/>
        <v>8.3707025411061284</v>
      </c>
      <c r="K131" s="86" t="str">
        <f t="shared" si="60"/>
        <v>1+0.590150030857321j</v>
      </c>
      <c r="L131" s="86">
        <f t="shared" si="61"/>
        <v>0.97793075008295915</v>
      </c>
      <c r="M131" s="86" t="str">
        <f t="shared" si="62"/>
        <v>0.0404852782821793j</v>
      </c>
      <c r="N131" s="86" t="str">
        <f t="shared" si="63"/>
        <v>0.977930750082959+0.0404852782821793j</v>
      </c>
      <c r="O131" s="86" t="str">
        <f t="shared" si="64"/>
        <v>1.04575792854782+0.560174869291916j</v>
      </c>
      <c r="P131" s="86" t="str">
        <f t="shared" si="65"/>
        <v>8.75372854987712+4.68905720184563j</v>
      </c>
      <c r="R131" s="86">
        <f t="shared" si="66"/>
        <v>11.958146487294469</v>
      </c>
      <c r="S131" s="86" t="str">
        <f t="shared" si="67"/>
        <v>1+0.00103095837684084j</v>
      </c>
      <c r="T131" s="86" t="str">
        <f t="shared" si="68"/>
        <v>0.977930750082959+0.0404852782821793j</v>
      </c>
      <c r="U131" s="86" t="str">
        <f t="shared" si="69"/>
        <v>1.02086131261163-0.0412083329502964j</v>
      </c>
      <c r="V131" s="86" t="str">
        <f t="shared" si="70"/>
        <v>12.2076091194216-0.492775281916848j</v>
      </c>
      <c r="X131" s="86" t="str">
        <f t="shared" si="71"/>
        <v>0.364640088475636+0.189702115373088j</v>
      </c>
      <c r="Y131" s="86">
        <f t="shared" si="72"/>
        <v>-7.7224363746512283</v>
      </c>
      <c r="Z131" s="86">
        <f t="shared" si="73"/>
        <v>-152.51452818085312</v>
      </c>
      <c r="AB131" s="86" t="str">
        <f t="shared" si="74"/>
        <v>5.67729253128638-0.229170953973141j</v>
      </c>
      <c r="AC131" s="86">
        <f t="shared" si="75"/>
        <v>15.089896229943939</v>
      </c>
      <c r="AD131" s="86">
        <f t="shared" si="76"/>
        <v>177.68843976807065</v>
      </c>
      <c r="AF131" s="86" t="str">
        <f t="shared" si="77"/>
        <v>4.05851184746916-0.732119219669703j</v>
      </c>
      <c r="AG131" s="86">
        <f t="shared" si="78"/>
        <v>12.306409129145761</v>
      </c>
      <c r="AH131" s="86">
        <f t="shared" si="79"/>
        <v>169.77432531774218</v>
      </c>
      <c r="AJ131" s="86" t="str">
        <f t="shared" si="80"/>
        <v>104519.017396378-7090.2629792772j</v>
      </c>
      <c r="AK131" s="86" t="str">
        <f t="shared" si="81"/>
        <v>20000-5.49844467648448E-06j</v>
      </c>
      <c r="AL131" s="86" t="str">
        <f t="shared" si="95"/>
        <v>10000-1616618.77346962j</v>
      </c>
      <c r="AM131" s="86" t="str">
        <f t="shared" si="96"/>
        <v>963.121592195433-501713.38323515j</v>
      </c>
      <c r="AN131" s="86" t="str">
        <f t="shared" si="97"/>
        <v>10963.1215921954-501713.38323515j</v>
      </c>
      <c r="AO131" s="86" t="str">
        <f t="shared" si="98"/>
        <v>19950.9834883174-794.242912105569j</v>
      </c>
      <c r="AP131" s="86" t="str">
        <f t="shared" si="99"/>
        <v>0.160098946890199+0.00911622702518785j</v>
      </c>
      <c r="AQ131" s="86" t="str">
        <f t="shared" si="82"/>
        <v>1+0.420631017751063j</v>
      </c>
      <c r="AR131" s="86">
        <f t="shared" si="83"/>
        <v>9.9942179590492062E-8</v>
      </c>
      <c r="AS131" s="86" t="str">
        <f t="shared" si="84"/>
        <v>0.0000165375345923455j</v>
      </c>
      <c r="AT131" s="86" t="str">
        <f t="shared" si="85"/>
        <v>9.99421795904921E-08+0.0000165375345923455j</v>
      </c>
      <c r="AU131" s="86" t="str">
        <f t="shared" si="86"/>
        <v>3.86991289821487-9.04688855734134j</v>
      </c>
      <c r="AW131" s="86" t="str">
        <f t="shared" si="100"/>
        <v>0.68847709986898-1.41970308791369j</v>
      </c>
      <c r="AX131" s="86">
        <f t="shared" si="87"/>
        <v>3.961221744603086</v>
      </c>
      <c r="AY131" s="86">
        <f t="shared" si="88"/>
        <v>115.87080740246513</v>
      </c>
      <c r="AZ131" s="86" t="str">
        <f t="shared" si="89"/>
        <v>3.58333118603207-8.21784869142224j</v>
      </c>
      <c r="BA131" s="86">
        <f t="shared" si="90"/>
        <v>19.051117974547026</v>
      </c>
      <c r="BB131" s="86">
        <f t="shared" si="91"/>
        <v>113.55924717053578</v>
      </c>
      <c r="BD131" s="86" t="str">
        <f t="shared" si="92"/>
        <v>1.75480054964342-6.26592911930279j</v>
      </c>
      <c r="BE131" s="86">
        <f t="shared" si="93"/>
        <v>16.267630873748832</v>
      </c>
      <c r="BF131" s="86">
        <f t="shared" si="94"/>
        <v>105.64513272020729</v>
      </c>
      <c r="BH131" s="86">
        <f t="shared" si="101"/>
        <v>-15.267630873748832</v>
      </c>
      <c r="BI131" s="162">
        <f t="shared" si="102"/>
        <v>-105.64513272020729</v>
      </c>
      <c r="BJ131" s="88"/>
      <c r="BK131" s="88"/>
      <c r="BL131" s="88"/>
      <c r="BM131" s="88"/>
      <c r="BN131" s="42"/>
      <c r="BO131" s="42"/>
      <c r="BP131" s="42"/>
    </row>
    <row r="132" spans="1:68" s="86" customFormat="1">
      <c r="A132" s="86">
        <v>68</v>
      </c>
      <c r="B132" s="86">
        <f t="shared" si="52"/>
        <v>2290.867652767774</v>
      </c>
      <c r="C132" s="86" t="str">
        <f t="shared" si="53"/>
        <v>14393.9459765635j</v>
      </c>
      <c r="D132" s="86">
        <f t="shared" si="54"/>
        <v>0.99993538843210217</v>
      </c>
      <c r="E132" s="86" t="str">
        <f t="shared" si="55"/>
        <v>-0.0126262684004943j</v>
      </c>
      <c r="F132" s="86" t="str">
        <f t="shared" si="56"/>
        <v>0.999935388432102-0.0126262684004943j</v>
      </c>
      <c r="G132" s="86">
        <f t="shared" si="57"/>
        <v>1.3117098929072194E-4</v>
      </c>
      <c r="H132" s="86">
        <f t="shared" si="58"/>
        <v>-0.72344018785146458</v>
      </c>
      <c r="J132" s="86">
        <f t="shared" si="59"/>
        <v>8.3707025411061284</v>
      </c>
      <c r="K132" s="86" t="str">
        <f t="shared" si="60"/>
        <v>1+0.617962944943821j</v>
      </c>
      <c r="L132" s="86">
        <f t="shared" si="61"/>
        <v>0.97580154866072977</v>
      </c>
      <c r="M132" s="86" t="str">
        <f t="shared" si="62"/>
        <v>0.0423932906650551j</v>
      </c>
      <c r="N132" s="86" t="str">
        <f t="shared" si="63"/>
        <v>0.97580154866073+0.0423932906650551j</v>
      </c>
      <c r="O132" s="86" t="str">
        <f t="shared" si="64"/>
        <v>1.05032902507897+0.587656416488306j</v>
      </c>
      <c r="P132" s="86" t="str">
        <f t="shared" si="65"/>
        <v>8.79199183922606+4.91909705879598j</v>
      </c>
      <c r="R132" s="86">
        <f t="shared" si="66"/>
        <v>11.958146487294469</v>
      </c>
      <c r="S132" s="86" t="str">
        <f t="shared" si="67"/>
        <v>1+0.00107954594824226j</v>
      </c>
      <c r="T132" s="86" t="str">
        <f t="shared" si="68"/>
        <v>0.97580154866073+0.0423932906650551j</v>
      </c>
      <c r="U132" s="86" t="str">
        <f t="shared" si="69"/>
        <v>1.02291591706991-0.0433338376107824j</v>
      </c>
      <c r="V132" s="86" t="str">
        <f t="shared" si="70"/>
        <v>12.2321783805071-0.518192378006366j</v>
      </c>
      <c r="X132" s="86" t="str">
        <f t="shared" si="71"/>
        <v>0.366452175842295+0.19899596629581j</v>
      </c>
      <c r="Y132" s="86">
        <f t="shared" si="72"/>
        <v>-7.5973390471254989</v>
      </c>
      <c r="Z132" s="86">
        <f t="shared" si="73"/>
        <v>-151.49653823755961</v>
      </c>
      <c r="AB132" s="86" t="str">
        <f t="shared" si="74"/>
        <v>5.68871875579074-0.240991474140881j</v>
      </c>
      <c r="AC132" s="86">
        <f t="shared" si="75"/>
        <v>15.108076249742652</v>
      </c>
      <c r="AD132" s="86">
        <f t="shared" si="76"/>
        <v>177.57422648389596</v>
      </c>
      <c r="AF132" s="86" t="str">
        <f t="shared" si="77"/>
        <v>4.05152217489363-0.766384702528812j</v>
      </c>
      <c r="AG132" s="86">
        <f t="shared" si="78"/>
        <v>12.305045444484527</v>
      </c>
      <c r="AH132" s="86">
        <f t="shared" si="79"/>
        <v>169.28850843341678</v>
      </c>
      <c r="AJ132" s="86" t="str">
        <f t="shared" si="80"/>
        <v>104472.84603601-7421.13703667992j</v>
      </c>
      <c r="AK132" s="86" t="str">
        <f t="shared" si="81"/>
        <v>20000-0.0000057575783906254j</v>
      </c>
      <c r="AL132" s="86" t="str">
        <f t="shared" si="95"/>
        <v>10000-1543858.94308655j</v>
      </c>
      <c r="AM132" s="86" t="str">
        <f t="shared" si="96"/>
        <v>963.119901169031-479132.939849703j</v>
      </c>
      <c r="AN132" s="86" t="str">
        <f t="shared" si="97"/>
        <v>10963.119901169-479132.939849703j</v>
      </c>
      <c r="AO132" s="86" t="str">
        <f t="shared" si="98"/>
        <v>19946.2742182158-831.369442175366j</v>
      </c>
      <c r="AP132" s="86" t="str">
        <f t="shared" si="99"/>
        <v>0.160108491874719+0.00954575308544771j</v>
      </c>
      <c r="AQ132" s="86" t="str">
        <f t="shared" si="82"/>
        <v>1+0.440454746882843j</v>
      </c>
      <c r="AR132" s="86">
        <f t="shared" si="83"/>
        <v>9.9936601181682465E-8</v>
      </c>
      <c r="AS132" s="86" t="str">
        <f t="shared" si="84"/>
        <v>0.0000173169245860242j</v>
      </c>
      <c r="AT132" s="86" t="str">
        <f t="shared" si="85"/>
        <v>9.99366011816825E-08+0.0000173169245860242j</v>
      </c>
      <c r="AU132" s="86" t="str">
        <f t="shared" si="86"/>
        <v>3.86509960258308-8.63974052316636j</v>
      </c>
      <c r="AW132" s="86" t="str">
        <f t="shared" si="100"/>
        <v>0.687768156831175-1.35328852647384j</v>
      </c>
      <c r="AX132" s="86">
        <f t="shared" si="87"/>
        <v>3.6256066964016656</v>
      </c>
      <c r="AY132" s="86">
        <f t="shared" si="88"/>
        <v>116.94058341597655</v>
      </c>
      <c r="AZ132" s="86" t="str">
        <f t="shared" si="89"/>
        <v>3.58638861646826-7.86422408453005j</v>
      </c>
      <c r="BA132" s="86">
        <f t="shared" si="90"/>
        <v>18.733682946144317</v>
      </c>
      <c r="BB132" s="86">
        <f t="shared" si="91"/>
        <v>114.51480989987249</v>
      </c>
      <c r="BD132" s="86" t="str">
        <f t="shared" si="92"/>
        <v>1.74936831378992-6.00997346831974j</v>
      </c>
      <c r="BE132" s="86">
        <f t="shared" si="93"/>
        <v>15.930652140886197</v>
      </c>
      <c r="BF132" s="86">
        <f t="shared" si="94"/>
        <v>106.22909184939334</v>
      </c>
      <c r="BH132" s="86">
        <f t="shared" si="101"/>
        <v>-14.930652140886197</v>
      </c>
      <c r="BI132" s="162">
        <f t="shared" si="102"/>
        <v>-106.22909184939334</v>
      </c>
      <c r="BJ132" s="88"/>
      <c r="BK132" s="88"/>
      <c r="BL132" s="88"/>
      <c r="BM132" s="88"/>
      <c r="BN132" s="42"/>
      <c r="BO132" s="42"/>
      <c r="BP132" s="42"/>
    </row>
    <row r="133" spans="1:68" s="86" customFormat="1">
      <c r="A133" s="86">
        <v>69</v>
      </c>
      <c r="B133" s="86">
        <f t="shared" si="52"/>
        <v>2398.8329190194918</v>
      </c>
      <c r="C133" s="86" t="str">
        <f t="shared" si="53"/>
        <v>15072.311751162j</v>
      </c>
      <c r="D133" s="86">
        <f t="shared" si="54"/>
        <v>0.99992915482458145</v>
      </c>
      <c r="E133" s="86" t="str">
        <f t="shared" si="55"/>
        <v>-0.0132213260975105j</v>
      </c>
      <c r="F133" s="86" t="str">
        <f t="shared" si="56"/>
        <v>0.999929154824581-0.0132213260975105j</v>
      </c>
      <c r="G133" s="86">
        <f t="shared" si="57"/>
        <v>1.4382783804765177E-4</v>
      </c>
      <c r="H133" s="86">
        <f t="shared" si="58"/>
        <v>-0.75753571167893319</v>
      </c>
      <c r="J133" s="86">
        <f t="shared" si="59"/>
        <v>8.3707025411061284</v>
      </c>
      <c r="K133" s="86" t="str">
        <f t="shared" si="60"/>
        <v>1+0.64708664128828j</v>
      </c>
      <c r="L133" s="86">
        <f t="shared" si="61"/>
        <v>0.97346692572605842</v>
      </c>
      <c r="M133" s="86" t="str">
        <f t="shared" si="62"/>
        <v>0.0443912249011989j</v>
      </c>
      <c r="N133" s="86" t="str">
        <f t="shared" si="63"/>
        <v>0.973466925726058+0.0443912249011989j</v>
      </c>
      <c r="O133" s="86" t="str">
        <f t="shared" si="64"/>
        <v>1.05537383200012+0.616597532278189j</v>
      </c>
      <c r="P133" s="86" t="str">
        <f t="shared" si="65"/>
        <v>8.83422041734032+5.16135453028081j</v>
      </c>
      <c r="R133" s="86">
        <f t="shared" si="66"/>
        <v>11.958146487294469</v>
      </c>
      <c r="S133" s="86" t="str">
        <f t="shared" si="67"/>
        <v>1+0.00113042338133715j</v>
      </c>
      <c r="T133" s="86" t="str">
        <f t="shared" si="68"/>
        <v>0.973466925726058+0.0443912249011989j</v>
      </c>
      <c r="U133" s="86" t="str">
        <f t="shared" si="69"/>
        <v>1.02517739876683-0.0455880481587471j</v>
      </c>
      <c r="V133" s="86" t="str">
        <f t="shared" si="70"/>
        <v>12.2592215099172-0.545148557952133j</v>
      </c>
      <c r="X133" s="86" t="str">
        <f t="shared" si="71"/>
        <v>0.368451373881194+0.208781490926233j</v>
      </c>
      <c r="Y133" s="86">
        <f t="shared" si="72"/>
        <v>-7.4630800026586774</v>
      </c>
      <c r="Z133" s="86">
        <f t="shared" si="73"/>
        <v>-150.46211478804412</v>
      </c>
      <c r="AB133" s="86" t="str">
        <f t="shared" si="74"/>
        <v>5.70129548192283-0.253527763399573j</v>
      </c>
      <c r="AC133" s="86">
        <f t="shared" si="75"/>
        <v>15.128050442179006</v>
      </c>
      <c r="AD133" s="86">
        <f t="shared" si="76"/>
        <v>177.45382301317107</v>
      </c>
      <c r="AF133" s="86" t="str">
        <f t="shared" si="77"/>
        <v>4.04384515880977-0.80222637477948j</v>
      </c>
      <c r="AG133" s="86">
        <f t="shared" si="78"/>
        <v>12.303531316332867</v>
      </c>
      <c r="AH133" s="86">
        <f t="shared" si="79"/>
        <v>168.77923033126098</v>
      </c>
      <c r="AJ133" s="86" t="str">
        <f t="shared" si="80"/>
        <v>104422.267009078-7767.12228808146j</v>
      </c>
      <c r="AK133" s="86" t="str">
        <f t="shared" si="81"/>
        <v>20000-0.0000060289247004648j</v>
      </c>
      <c r="AL133" s="86" t="str">
        <f t="shared" si="95"/>
        <v>10000-1474373.84451055j</v>
      </c>
      <c r="AM133" s="86" t="str">
        <f t="shared" si="96"/>
        <v>963.11804700228-457568.801666691j</v>
      </c>
      <c r="AN133" s="86" t="str">
        <f t="shared" si="97"/>
        <v>10963.1180470023-457568.801666691j</v>
      </c>
      <c r="AO133" s="86" t="str">
        <f t="shared" si="98"/>
        <v>19941.1145835711-870.200776807577j</v>
      </c>
      <c r="AP133" s="86" t="str">
        <f t="shared" si="99"/>
        <v>0.160118957492778+0.00999550601607513j</v>
      </c>
      <c r="AQ133" s="86" t="str">
        <f t="shared" si="82"/>
        <v>1+0.461212739585557j</v>
      </c>
      <c r="AR133" s="86">
        <f t="shared" si="83"/>
        <v>9.9930484578053589E-8</v>
      </c>
      <c r="AS133" s="86" t="str">
        <f t="shared" si="84"/>
        <v>0.0000181330460984705j</v>
      </c>
      <c r="AT133" s="86" t="str">
        <f t="shared" si="85"/>
        <v>9.99304845780536E-08+0.0000181330460984705j</v>
      </c>
      <c r="AU133" s="86" t="str">
        <f t="shared" si="86"/>
        <v>3.8607097977903-8.25091364057754j</v>
      </c>
      <c r="AW133" s="86" t="str">
        <f t="shared" si="100"/>
        <v>0.687132831620487-1.28974388202966j</v>
      </c>
      <c r="AX133" s="86">
        <f t="shared" si="87"/>
        <v>3.2951804321147526</v>
      </c>
      <c r="AY133" s="86">
        <f t="shared" si="88"/>
        <v>118.04721322209986</v>
      </c>
      <c r="AZ133" s="86" t="str">
        <f t="shared" si="89"/>
        <v>3.59056142662946-7.52741821741247j</v>
      </c>
      <c r="BA133" s="86">
        <f t="shared" si="90"/>
        <v>18.423230874293758</v>
      </c>
      <c r="BB133" s="86">
        <f t="shared" si="91"/>
        <v>115.50103623527094</v>
      </c>
      <c r="BD133" s="86" t="str">
        <f t="shared" si="92"/>
        <v>1.74399221573308-5.76676063395302j</v>
      </c>
      <c r="BE133" s="86">
        <f t="shared" si="93"/>
        <v>15.598711748447617</v>
      </c>
      <c r="BF133" s="86">
        <f t="shared" si="94"/>
        <v>106.82644355336078</v>
      </c>
      <c r="BH133" s="86">
        <f t="shared" si="101"/>
        <v>-14.598711748447617</v>
      </c>
      <c r="BI133" s="162">
        <f t="shared" si="102"/>
        <v>-106.82644355336078</v>
      </c>
      <c r="BJ133" s="88"/>
      <c r="BK133" s="88"/>
      <c r="BL133" s="88"/>
      <c r="BM133" s="88"/>
      <c r="BN133" s="42"/>
      <c r="BO133" s="42"/>
      <c r="BP133" s="42"/>
    </row>
    <row r="134" spans="1:68" s="86" customFormat="1">
      <c r="A134" s="86">
        <v>70</v>
      </c>
      <c r="B134" s="86">
        <f t="shared" si="52"/>
        <v>2511.8864315095811</v>
      </c>
      <c r="C134" s="86" t="str">
        <f t="shared" si="53"/>
        <v>15782.6479197648j</v>
      </c>
      <c r="D134" s="86">
        <f t="shared" si="54"/>
        <v>0.99992231980985158</v>
      </c>
      <c r="E134" s="86" t="str">
        <f t="shared" si="55"/>
        <v>-0.0138444279997937j</v>
      </c>
      <c r="F134" s="86" t="str">
        <f t="shared" si="56"/>
        <v>0.999922319809852-0.0138444279997937j</v>
      </c>
      <c r="G134" s="86">
        <f t="shared" si="57"/>
        <v>1.577061422663888E-4</v>
      </c>
      <c r="H134" s="86">
        <f t="shared" si="58"/>
        <v>-0.79323823220000322</v>
      </c>
      <c r="J134" s="86">
        <f t="shared" si="59"/>
        <v>8.3707025411061284</v>
      </c>
      <c r="K134" s="86" t="str">
        <f t="shared" si="60"/>
        <v>1+0.677582895155331j</v>
      </c>
      <c r="L134" s="86">
        <f t="shared" si="61"/>
        <v>0.97090706258197534</v>
      </c>
      <c r="M134" s="86" t="str">
        <f t="shared" si="62"/>
        <v>0.0464833188769934j</v>
      </c>
      <c r="N134" s="86" t="str">
        <f t="shared" si="63"/>
        <v>0.970907062581975+0.0464833188769934j</v>
      </c>
      <c r="O134" s="86" t="str">
        <f t="shared" si="64"/>
        <v>1.06094501250558+0.647092470578288j</v>
      </c>
      <c r="P134" s="86" t="str">
        <f t="shared" si="65"/>
        <v>8.88085511215433+5.41661858780032j</v>
      </c>
      <c r="R134" s="86">
        <f t="shared" si="66"/>
        <v>11.958146487294469</v>
      </c>
      <c r="S134" s="86" t="str">
        <f t="shared" si="67"/>
        <v>1+0.00118369859398236j</v>
      </c>
      <c r="T134" s="86" t="str">
        <f t="shared" si="68"/>
        <v>0.970907062581975+0.0464833188769934j</v>
      </c>
      <c r="U134" s="86" t="str">
        <f t="shared" si="69"/>
        <v>1.02766752172424-0.0479816249291336j</v>
      </c>
      <c r="V134" s="86" t="str">
        <f t="shared" si="70"/>
        <v>12.2889987650133-0.573771299601j</v>
      </c>
      <c r="X134" s="86" t="str">
        <f t="shared" si="71"/>
        <v>0.370658345301061+0.219090154861791j</v>
      </c>
      <c r="Y134" s="86">
        <f t="shared" si="72"/>
        <v>-7.3191813503829906</v>
      </c>
      <c r="Z134" s="86">
        <f t="shared" si="73"/>
        <v>-149.41335293800364</v>
      </c>
      <c r="AB134" s="86" t="str">
        <f t="shared" si="74"/>
        <v>5.71514374543663-0.266839106824677j</v>
      </c>
      <c r="AC134" s="86">
        <f t="shared" si="75"/>
        <v>15.15000021918339</v>
      </c>
      <c r="AD134" s="86">
        <f t="shared" si="76"/>
        <v>177.326810961593</v>
      </c>
      <c r="AF134" s="86" t="str">
        <f t="shared" si="77"/>
        <v>4.03541199782997-0.839711916763306j</v>
      </c>
      <c r="AG134" s="86">
        <f t="shared" si="78"/>
        <v>12.301848435919977</v>
      </c>
      <c r="AH134" s="86">
        <f t="shared" si="79"/>
        <v>168.24530462900151</v>
      </c>
      <c r="AJ134" s="86" t="str">
        <f t="shared" si="80"/>
        <v>104366.864468561-8128.86032601972j</v>
      </c>
      <c r="AK134" s="86" t="str">
        <f t="shared" si="81"/>
        <v>20000-6.31305916790592E-06j</v>
      </c>
      <c r="AL134" s="86" t="str">
        <f t="shared" si="95"/>
        <v>10000-1408016.09053149j</v>
      </c>
      <c r="AM134" s="86" t="str">
        <f t="shared" si="96"/>
        <v>963.116013957073-436975.228257655j</v>
      </c>
      <c r="AN134" s="86" t="str">
        <f t="shared" si="97"/>
        <v>10963.1160139571-436975.228257655j</v>
      </c>
      <c r="AO134" s="86" t="str">
        <f t="shared" si="98"/>
        <v>19935.4619327052-910.810676099149j</v>
      </c>
      <c r="AP134" s="86" t="str">
        <f t="shared" si="99"/>
        <v>0.160130432515017+0.0104664367001599j</v>
      </c>
      <c r="AQ134" s="86" t="str">
        <f t="shared" si="82"/>
        <v>1+0.482949026344803j</v>
      </c>
      <c r="AR134" s="86">
        <f t="shared" si="83"/>
        <v>9.9923777855540057E-8</v>
      </c>
      <c r="AS134" s="86" t="str">
        <f t="shared" si="84"/>
        <v>0.0000189876302328314j</v>
      </c>
      <c r="AT134" s="86" t="str">
        <f t="shared" si="85"/>
        <v>9.99237778555401E-08+0.0000189876302328314j</v>
      </c>
      <c r="AU134" s="86" t="str">
        <f t="shared" si="86"/>
        <v>3.85670622577566-7.87958378740407j</v>
      </c>
      <c r="AW134" s="86" t="str">
        <f t="shared" si="100"/>
        <v>0.686565731237743-1.22893449762515j</v>
      </c>
      <c r="AX134" s="86">
        <f t="shared" si="87"/>
        <v>2.9702750011708186</v>
      </c>
      <c r="AY134" s="86">
        <f t="shared" si="88"/>
        <v>119.19067202969234</v>
      </c>
      <c r="AZ134" s="86" t="str">
        <f t="shared" si="89"/>
        <v>3.59589406102219-7.2067398941536j</v>
      </c>
      <c r="BA134" s="86">
        <f t="shared" si="90"/>
        <v>18.12027522035422</v>
      </c>
      <c r="BB134" s="86">
        <f t="shared" si="91"/>
        <v>116.51748299128535</v>
      </c>
      <c r="BD134" s="86" t="str">
        <f t="shared" si="92"/>
        <v>1.73862464655833-5.53577444242532j</v>
      </c>
      <c r="BE134" s="86">
        <f t="shared" si="93"/>
        <v>15.272123437090796</v>
      </c>
      <c r="BF134" s="86">
        <f t="shared" si="94"/>
        <v>107.43597665869387</v>
      </c>
      <c r="BH134" s="86">
        <f t="shared" si="101"/>
        <v>-14.272123437090796</v>
      </c>
      <c r="BI134" s="162">
        <f t="shared" si="102"/>
        <v>-107.43597665869387</v>
      </c>
      <c r="BJ134" s="88"/>
      <c r="BK134" s="88"/>
      <c r="BL134" s="88"/>
      <c r="BM134" s="88"/>
      <c r="BN134" s="42"/>
      <c r="BO134" s="42"/>
      <c r="BP134" s="42"/>
    </row>
    <row r="135" spans="1:68" s="86" customFormat="1">
      <c r="A135" s="86">
        <v>71</v>
      </c>
      <c r="B135" s="86">
        <f t="shared" si="52"/>
        <v>2630.2679918953822</v>
      </c>
      <c r="C135" s="86" t="str">
        <f t="shared" si="53"/>
        <v>16526.4612006218j</v>
      </c>
      <c r="D135" s="86">
        <f t="shared" si="54"/>
        <v>0.99991482536523002</v>
      </c>
      <c r="E135" s="86" t="str">
        <f t="shared" si="55"/>
        <v>-0.0144968957900191j</v>
      </c>
      <c r="F135" s="86" t="str">
        <f t="shared" si="56"/>
        <v>0.99991482536523-0.0144968957900191j</v>
      </c>
      <c r="G135" s="86">
        <f t="shared" si="57"/>
        <v>1.7292381563643728E-4</v>
      </c>
      <c r="H135" s="86">
        <f t="shared" si="58"/>
        <v>-0.83062350322580902</v>
      </c>
      <c r="J135" s="86">
        <f t="shared" si="59"/>
        <v>8.3707025411061284</v>
      </c>
      <c r="K135" s="86" t="str">
        <f t="shared" si="60"/>
        <v>1+0.709516393188124j</v>
      </c>
      <c r="L135" s="86">
        <f t="shared" si="61"/>
        <v>0.96810022845937793</v>
      </c>
      <c r="M135" s="86" t="str">
        <f t="shared" si="62"/>
        <v>0.0486740102042529j</v>
      </c>
      <c r="N135" s="86" t="str">
        <f t="shared" si="63"/>
        <v>0.968100228459378+0.0486740102042529j</v>
      </c>
      <c r="O135" s="86" t="str">
        <f t="shared" si="64"/>
        <v>1.06710183390091+0.67924399592624j</v>
      </c>
      <c r="P135" s="86" t="str">
        <f t="shared" si="65"/>
        <v>8.93239203265336+5.68574944273086j</v>
      </c>
      <c r="R135" s="86">
        <f t="shared" si="66"/>
        <v>11.958146487294469</v>
      </c>
      <c r="S135" s="86" t="str">
        <f t="shared" si="67"/>
        <v>1+0.00123948459004663j</v>
      </c>
      <c r="T135" s="86" t="str">
        <f t="shared" si="68"/>
        <v>0.968100228459378+0.0486740102042529j</v>
      </c>
      <c r="U135" s="86" t="str">
        <f t="shared" si="69"/>
        <v>1.03041053260342-0.0505265123904621j</v>
      </c>
      <c r="V135" s="86" t="str">
        <f t="shared" si="70"/>
        <v>12.3218000909228-0.604203436657245j</v>
      </c>
      <c r="X135" s="86" t="str">
        <f t="shared" si="71"/>
        <v>0.373096316269692+0.229956226288133j</v>
      </c>
      <c r="Y135" s="86">
        <f t="shared" si="72"/>
        <v>-7.1651620869756787</v>
      </c>
      <c r="Z135" s="86">
        <f t="shared" si="73"/>
        <v>-148.3525835853936</v>
      </c>
      <c r="AB135" s="86" t="str">
        <f t="shared" si="74"/>
        <v>5.73039838873169-0.280991930914173j</v>
      </c>
      <c r="AC135" s="86">
        <f t="shared" si="75"/>
        <v>15.174126235898523</v>
      </c>
      <c r="AD135" s="86">
        <f t="shared" si="76"/>
        <v>177.19273154500578</v>
      </c>
      <c r="AF135" s="86" t="str">
        <f t="shared" si="77"/>
        <v>4.02614679450206-0.878910998420374j</v>
      </c>
      <c r="AG135" s="86">
        <f t="shared" si="78"/>
        <v>12.299975968687848</v>
      </c>
      <c r="AH135" s="86">
        <f t="shared" si="79"/>
        <v>167.68547788088503</v>
      </c>
      <c r="AJ135" s="86" t="str">
        <f t="shared" si="80"/>
        <v>104306.184322003-8507.01275388055j</v>
      </c>
      <c r="AK135" s="86" t="str">
        <f t="shared" si="81"/>
        <v>20000-6.61058448024872E-06j</v>
      </c>
      <c r="AL135" s="86" t="str">
        <f t="shared" si="95"/>
        <v>10000-1344644.92745647j</v>
      </c>
      <c r="AM135" s="86" t="str">
        <f t="shared" si="96"/>
        <v>963.11378477719-417308.537892123j</v>
      </c>
      <c r="AN135" s="86" t="str">
        <f t="shared" si="97"/>
        <v>10963.1137847772-417308.537892123j</v>
      </c>
      <c r="AO135" s="86" t="str">
        <f t="shared" si="98"/>
        <v>19929.269658697-953.275418604988j</v>
      </c>
      <c r="AP135" s="86" t="str">
        <f t="shared" si="99"/>
        <v>0.160143014266312+0.0109595404821328j</v>
      </c>
      <c r="AQ135" s="86" t="str">
        <f t="shared" si="82"/>
        <v>1+0.505709712739027j</v>
      </c>
      <c r="AR135" s="86">
        <f t="shared" si="83"/>
        <v>9.9916424080536404E-8</v>
      </c>
      <c r="AS135" s="86" t="str">
        <f t="shared" si="84"/>
        <v>0.0000198824896766321j</v>
      </c>
      <c r="AT135" s="86" t="str">
        <f t="shared" si="85"/>
        <v>9.99164240805364E-08+0.0000198824896766321j</v>
      </c>
      <c r="AU135" s="86" t="str">
        <f t="shared" si="86"/>
        <v>3.85305490601953-7.5249638735056j</v>
      </c>
      <c r="AW135" s="86" t="str">
        <f t="shared" si="100"/>
        <v>0.686062041483713-1.17073150936754j</v>
      </c>
      <c r="AX135" s="86">
        <f t="shared" si="87"/>
        <v>2.6512299452455217</v>
      </c>
      <c r="AY135" s="86">
        <f t="shared" si="88"/>
        <v>120.37079000286987</v>
      </c>
      <c r="AZ135" s="86" t="str">
        <f t="shared" si="89"/>
        <v>3.602442709689-6.9015358526806j</v>
      </c>
      <c r="BA135" s="86">
        <f t="shared" si="90"/>
        <v>17.825356181144056</v>
      </c>
      <c r="BB135" s="86">
        <f t="shared" si="91"/>
        <v>117.56352154787569</v>
      </c>
      <c r="BD135" s="86" t="str">
        <f t="shared" si="92"/>
        <v>1.73321768936878-5.31652438752146j</v>
      </c>
      <c r="BE135" s="86">
        <f t="shared" si="93"/>
        <v>14.951205913933389</v>
      </c>
      <c r="BF135" s="86">
        <f t="shared" si="94"/>
        <v>108.05626788375491</v>
      </c>
      <c r="BH135" s="86">
        <f t="shared" si="101"/>
        <v>-13.951205913933389</v>
      </c>
      <c r="BI135" s="162">
        <f t="shared" si="102"/>
        <v>-108.05626788375491</v>
      </c>
      <c r="BJ135" s="88"/>
      <c r="BK135" s="88"/>
      <c r="BL135" s="88"/>
      <c r="BM135" s="88"/>
      <c r="BN135" s="42"/>
      <c r="BO135" s="42"/>
      <c r="BP135" s="42"/>
    </row>
    <row r="136" spans="1:68" s="86" customFormat="1">
      <c r="A136" s="86">
        <v>72</v>
      </c>
      <c r="B136" s="86">
        <f t="shared" si="52"/>
        <v>2754.2287033381667</v>
      </c>
      <c r="C136" s="86" t="str">
        <f t="shared" si="53"/>
        <v>17305.3293214267j</v>
      </c>
      <c r="D136" s="86">
        <f t="shared" si="54"/>
        <v>0.99990660787011032</v>
      </c>
      <c r="E136" s="86" t="str">
        <f t="shared" si="55"/>
        <v>-0.015180113439848j</v>
      </c>
      <c r="F136" s="86" t="str">
        <f t="shared" si="56"/>
        <v>0.99990660787011-0.015180113439848j</v>
      </c>
      <c r="G136" s="86">
        <f t="shared" si="57"/>
        <v>1.8961016210024717E-4</v>
      </c>
      <c r="H136" s="86">
        <f t="shared" si="58"/>
        <v>-0.86977085145804234</v>
      </c>
      <c r="J136" s="86">
        <f t="shared" si="59"/>
        <v>8.3707025411061284</v>
      </c>
      <c r="K136" s="86" t="str">
        <f t="shared" si="60"/>
        <v>1+0.742954870617394j</v>
      </c>
      <c r="L136" s="86">
        <f t="shared" si="61"/>
        <v>0.96502259604375873</v>
      </c>
      <c r="M136" s="86" t="str">
        <f t="shared" si="62"/>
        <v>0.0509679456329942j</v>
      </c>
      <c r="N136" s="86" t="str">
        <f t="shared" si="63"/>
        <v>0.965022596043759+0.0509679456329942j</v>
      </c>
      <c r="O136" s="86" t="str">
        <f t="shared" si="64"/>
        <v>1.07391115195977+0.713164467061282j</v>
      </c>
      <c r="P136" s="86" t="str">
        <f t="shared" si="65"/>
        <v>8.98939080863186+5.96968761665647j</v>
      </c>
      <c r="R136" s="86">
        <f t="shared" si="66"/>
        <v>11.958146487294469</v>
      </c>
      <c r="S136" s="86" t="str">
        <f t="shared" si="67"/>
        <v>1+0.001297899699107j</v>
      </c>
      <c r="T136" s="86" t="str">
        <f t="shared" si="68"/>
        <v>0.965022596043759+0.0509679456329942j</v>
      </c>
      <c r="U136" s="86" t="str">
        <f t="shared" si="69"/>
        <v>1.03343348352096-0.0532361440187206j</v>
      </c>
      <c r="V136" s="86" t="str">
        <f t="shared" si="70"/>
        <v>12.3579489808187-0.636605608594566j</v>
      </c>
      <c r="X136" s="86" t="str">
        <f t="shared" si="71"/>
        <v>0.375791453198338+0.241417127943891j</v>
      </c>
      <c r="Y136" s="86">
        <f t="shared" si="72"/>
        <v>-7.0005395225359219</v>
      </c>
      <c r="Z136" s="86">
        <f t="shared" si="73"/>
        <v>-147.28237201275601</v>
      </c>
      <c r="AB136" s="86" t="str">
        <f t="shared" si="74"/>
        <v>5.74720985612163-0.296060942949015j</v>
      </c>
      <c r="AC136" s="86">
        <f t="shared" si="75"/>
        <v>15.200650618799649</v>
      </c>
      <c r="AD136" s="86">
        <f t="shared" si="76"/>
        <v>177.05108009532645</v>
      </c>
      <c r="AF136" s="86" t="str">
        <f t="shared" si="77"/>
        <v>4.01596579244538-0.919895139295969j</v>
      </c>
      <c r="AG136" s="86">
        <f t="shared" si="78"/>
        <v>12.29789015975032</v>
      </c>
      <c r="AH136" s="86">
        <f t="shared" si="79"/>
        <v>167.09842497576813</v>
      </c>
      <c r="AJ136" s="86" t="str">
        <f t="shared" si="80"/>
        <v>104239.730912713-8902.26067243862j</v>
      </c>
      <c r="AK136" s="86" t="str">
        <f t="shared" si="81"/>
        <v>20000-6.92213172857068E-06j</v>
      </c>
      <c r="AL136" s="86" t="str">
        <f t="shared" si="95"/>
        <v>10000-1284125.93655225j</v>
      </c>
      <c r="AM136" s="86" t="str">
        <f t="shared" si="96"/>
        <v>963.111340541923-398527.014882778j</v>
      </c>
      <c r="AN136" s="86" t="str">
        <f t="shared" si="97"/>
        <v>10963.1113405419-398527.014882778j</v>
      </c>
      <c r="AO136" s="86" t="str">
        <f t="shared" si="98"/>
        <v>19922.4868495148-997.673782691668j</v>
      </c>
      <c r="AP136" s="86" t="str">
        <f t="shared" si="99"/>
        <v>0.160156809449013+0.011475859211007j</v>
      </c>
      <c r="AQ136" s="86" t="str">
        <f t="shared" si="82"/>
        <v>1+0.529543077235657j</v>
      </c>
      <c r="AR136" s="86">
        <f t="shared" si="83"/>
        <v>9.9908360826585551E-8</v>
      </c>
      <c r="AS136" s="86" t="str">
        <f t="shared" si="84"/>
        <v>0.0000208195225467288j</v>
      </c>
      <c r="AT136" s="86" t="str">
        <f t="shared" si="85"/>
        <v>9.99083608265856E-08+0.0000208195225467288j</v>
      </c>
      <c r="AU136" s="86" t="str">
        <f t="shared" si="86"/>
        <v>3.84972484728409-7.18630218176556j</v>
      </c>
      <c r="AW136" s="86" t="str">
        <f t="shared" si="100"/>
        <v>0.68561748608909-1.11501157540068j</v>
      </c>
      <c r="AX136" s="86">
        <f t="shared" si="87"/>
        <v>2.3383902965212484</v>
      </c>
      <c r="AY136" s="86">
        <f t="shared" si="88"/>
        <v>121.58724153007486</v>
      </c>
      <c r="AZ136" s="86" t="str">
        <f t="shared" si="89"/>
        <v>3.61027619516836-6.61119007526637j</v>
      </c>
      <c r="BA136" s="86">
        <f t="shared" si="90"/>
        <v>17.539040915320903</v>
      </c>
      <c r="BB136" s="86">
        <f t="shared" si="91"/>
        <v>118.63832162540129</v>
      </c>
      <c r="BD136" s="86" t="str">
        <f t="shared" si="92"/>
        <v>1.72772264236635-5.10854453785944j</v>
      </c>
      <c r="BE136" s="86">
        <f t="shared" si="93"/>
        <v>14.636280456271567</v>
      </c>
      <c r="BF136" s="86">
        <f t="shared" si="94"/>
        <v>108.68566650584292</v>
      </c>
      <c r="BH136" s="86">
        <f t="shared" si="101"/>
        <v>-13.636280456271567</v>
      </c>
      <c r="BI136" s="162">
        <f t="shared" si="102"/>
        <v>-108.68566650584292</v>
      </c>
      <c r="BJ136" s="88"/>
      <c r="BK136" s="88"/>
      <c r="BL136" s="88"/>
      <c r="BM136" s="88"/>
      <c r="BN136" s="42"/>
      <c r="BO136" s="42"/>
      <c r="BP136" s="42"/>
    </row>
    <row r="137" spans="1:68" s="86" customFormat="1">
      <c r="A137" s="86">
        <v>73</v>
      </c>
      <c r="B137" s="86">
        <f t="shared" si="52"/>
        <v>2884.0315031266064</v>
      </c>
      <c r="C137" s="86" t="str">
        <f t="shared" si="53"/>
        <v>18120.904365888j</v>
      </c>
      <c r="D137" s="86">
        <f t="shared" si="54"/>
        <v>0.99989759756588459</v>
      </c>
      <c r="E137" s="86" t="str">
        <f t="shared" si="55"/>
        <v>-0.0158955301455158j</v>
      </c>
      <c r="F137" s="86" t="str">
        <f t="shared" si="56"/>
        <v>0.999897597565885-0.0158955301455158j</v>
      </c>
      <c r="G137" s="86">
        <f t="shared" si="57"/>
        <v>2.0790697760654796E-4</v>
      </c>
      <c r="H137" s="86">
        <f t="shared" si="58"/>
        <v>-0.91076334527718961</v>
      </c>
      <c r="J137" s="86">
        <f t="shared" si="59"/>
        <v>8.3707025411061284</v>
      </c>
      <c r="K137" s="86" t="str">
        <f t="shared" si="60"/>
        <v>1+0.777969254936927j</v>
      </c>
      <c r="L137" s="86">
        <f t="shared" si="61"/>
        <v>0.96164803920428987</v>
      </c>
      <c r="M137" s="86" t="str">
        <f t="shared" si="62"/>
        <v>0.0533699909078138j</v>
      </c>
      <c r="N137" s="86" t="str">
        <f t="shared" si="63"/>
        <v>0.96164803920429+0.0533699909078138j</v>
      </c>
      <c r="O137" s="86" t="str">
        <f t="shared" si="64"/>
        <v>1.08144857403991+0.748977094539825j</v>
      </c>
      <c r="P137" s="86" t="str">
        <f t="shared" si="65"/>
        <v>9.05248432679147+6.2694644684948j</v>
      </c>
      <c r="R137" s="86">
        <f t="shared" si="66"/>
        <v>11.958146487294469</v>
      </c>
      <c r="S137" s="86" t="str">
        <f t="shared" si="67"/>
        <v>1+0.0013590678274416j</v>
      </c>
      <c r="T137" s="86" t="str">
        <f t="shared" si="68"/>
        <v>0.96164803920429+0.0533699909078138j</v>
      </c>
      <c r="U137" s="86" t="str">
        <f t="shared" si="69"/>
        <v>1.03676660479934-0.0561256865753962j</v>
      </c>
      <c r="V137" s="86" t="str">
        <f t="shared" si="70"/>
        <v>12.3978069333254-0.671159181768564j</v>
      </c>
      <c r="X137" s="86" t="str">
        <f t="shared" si="71"/>
        <v>0.378773306974166+0.253513844870425j</v>
      </c>
      <c r="Y137" s="86">
        <f t="shared" si="72"/>
        <v>-6.8248303446509482</v>
      </c>
      <c r="Z137" s="86">
        <f t="shared" si="73"/>
        <v>-146.20551383314702</v>
      </c>
      <c r="AB137" s="86" t="str">
        <f t="shared" si="74"/>
        <v>5.76574626680328-0.312130489490925j</v>
      </c>
      <c r="AC137" s="86">
        <f t="shared" si="75"/>
        <v>15.229819490368289</v>
      </c>
      <c r="AD137" s="86">
        <f t="shared" si="76"/>
        <v>176.90129962502138</v>
      </c>
      <c r="AF137" s="86" t="str">
        <f t="shared" si="77"/>
        <v>4.00477652870458-0.962737513422519j</v>
      </c>
      <c r="AG137" s="86">
        <f t="shared" si="78"/>
        <v>12.295563871726284</v>
      </c>
      <c r="AH137" s="86">
        <f t="shared" si="79"/>
        <v>166.48274416030836</v>
      </c>
      <c r="AJ137" s="86" t="str">
        <f t="shared" si="80"/>
        <v>104166.96345328-9315.30394122578j</v>
      </c>
      <c r="AK137" s="86" t="str">
        <f t="shared" si="81"/>
        <v>20000-0.0000072483617463552j</v>
      </c>
      <c r="AL137" s="86" t="str">
        <f t="shared" si="95"/>
        <v>10000-1226330.74892525j</v>
      </c>
      <c r="AM137" s="86" t="str">
        <f t="shared" si="96"/>
        <v>963.108660505494-380590.821100917j</v>
      </c>
      <c r="AN137" s="86" t="str">
        <f t="shared" si="97"/>
        <v>10963.1086605055-380590.821100917j</v>
      </c>
      <c r="AO137" s="86" t="str">
        <f t="shared" si="98"/>
        <v>19915.0579106306-1044.08700782285j</v>
      </c>
      <c r="AP137" s="86" t="str">
        <f t="shared" si="99"/>
        <v>0.160171935045181+0.0120164833721988j</v>
      </c>
      <c r="AQ137" s="86" t="str">
        <f t="shared" si="82"/>
        <v>1+0.554499673596173j</v>
      </c>
      <c r="AR137" s="86">
        <f t="shared" si="83"/>
        <v>9.9899519644438472E-8</v>
      </c>
      <c r="AS137" s="86" t="str">
        <f t="shared" si="84"/>
        <v>0.0000218007164154689j</v>
      </c>
      <c r="AT137" s="86" t="str">
        <f t="shared" si="85"/>
        <v>9.98995196444385E-08+0.0000218007164154689j</v>
      </c>
      <c r="AU137" s="86" t="str">
        <f t="shared" si="86"/>
        <v>3.84668778469576-6.86288078275839j</v>
      </c>
      <c r="AW137" s="86" t="str">
        <f t="shared" si="100"/>
        <v>0.685228290398473-1.06165661646704j</v>
      </c>
      <c r="AX137" s="86">
        <f t="shared" si="87"/>
        <v>2.0321042743471471</v>
      </c>
      <c r="AY137" s="86">
        <f t="shared" si="88"/>
        <v>122.83953571787193</v>
      </c>
      <c r="AZ137" s="86" t="str">
        <f t="shared" si="89"/>
        <v>3.61947705790386-6.33512331471695j</v>
      </c>
      <c r="BA137" s="86">
        <f t="shared" si="90"/>
        <v>17.261923764715444</v>
      </c>
      <c r="BB137" s="86">
        <f t="shared" si="91"/>
        <v>119.74083534289335</v>
      </c>
      <c r="BD137" s="86" t="str">
        <f t="shared" si="92"/>
        <v>1.72208952314613-4.91139247959611j</v>
      </c>
      <c r="BE137" s="86">
        <f t="shared" si="93"/>
        <v>14.327668146073426</v>
      </c>
      <c r="BF137" s="86">
        <f t="shared" si="94"/>
        <v>109.32227987818032</v>
      </c>
      <c r="BH137" s="86">
        <f t="shared" si="101"/>
        <v>-13.327668146073426</v>
      </c>
      <c r="BI137" s="162">
        <f t="shared" si="102"/>
        <v>-109.32227987818032</v>
      </c>
      <c r="BJ137" s="88"/>
      <c r="BK137" s="88"/>
      <c r="BL137" s="88"/>
      <c r="BM137" s="88"/>
      <c r="BN137" s="42"/>
      <c r="BO137" s="42"/>
      <c r="BP137" s="42"/>
    </row>
    <row r="138" spans="1:68" s="86" customFormat="1">
      <c r="A138" s="86">
        <v>74</v>
      </c>
      <c r="B138" s="86">
        <f t="shared" si="52"/>
        <v>3019.9517204020162</v>
      </c>
      <c r="C138" s="86" t="str">
        <f t="shared" si="53"/>
        <v>18974.9162780217j</v>
      </c>
      <c r="D138" s="86">
        <f t="shared" si="54"/>
        <v>0.99988771796376041</v>
      </c>
      <c r="E138" s="86" t="str">
        <f t="shared" si="55"/>
        <v>-0.0166446634017734j</v>
      </c>
      <c r="F138" s="86" t="str">
        <f t="shared" si="56"/>
        <v>0.99988771796376-0.0166446634017734j</v>
      </c>
      <c r="G138" s="86">
        <f t="shared" si="57"/>
        <v>2.2796975871060843E-4</v>
      </c>
      <c r="H138" s="86">
        <f t="shared" si="58"/>
        <v>-0.953687971545361</v>
      </c>
      <c r="J138" s="86">
        <f t="shared" si="59"/>
        <v>8.3707025411061284</v>
      </c>
      <c r="K138" s="86" t="str">
        <f t="shared" si="60"/>
        <v>1+0.814633816350353j</v>
      </c>
      <c r="L138" s="86">
        <f t="shared" si="61"/>
        <v>0.9579479112081648</v>
      </c>
      <c r="M138" s="86" t="str">
        <f t="shared" si="62"/>
        <v>0.0558852410887893j</v>
      </c>
      <c r="N138" s="86" t="str">
        <f t="shared" si="63"/>
        <v>0.957947911208165+0.0558852410887893j</v>
      </c>
      <c r="O138" s="86" t="str">
        <f t="shared" si="64"/>
        <v>1.08979984000446+0.786817404928181j</v>
      </c>
      <c r="P138" s="86" t="str">
        <f t="shared" si="65"/>
        <v>9.12239029002239+6.58621445081885j</v>
      </c>
      <c r="R138" s="86">
        <f t="shared" si="66"/>
        <v>11.958146487294469</v>
      </c>
      <c r="S138" s="86" t="str">
        <f t="shared" si="67"/>
        <v>1+0.00142311872085163j</v>
      </c>
      <c r="T138" s="86" t="str">
        <f t="shared" si="68"/>
        <v>0.957947911208165+0.0558852410887893j</v>
      </c>
      <c r="U138" s="86" t="str">
        <f t="shared" si="69"/>
        <v>1.04044373692382-0.0592123326256002j</v>
      </c>
      <c r="V138" s="86" t="str">
        <f t="shared" si="70"/>
        <v>12.4417786179231-0.708069747391333j</v>
      </c>
      <c r="X138" s="86" t="str">
        <f t="shared" si="71"/>
        <v>0.382075339189712+0.266291398211897j</v>
      </c>
      <c r="Y138" s="86">
        <f t="shared" si="72"/>
        <v>-6.6375511777895291</v>
      </c>
      <c r="Z138" s="86">
        <f t="shared" si="73"/>
        <v>-145.12502846315292</v>
      </c>
      <c r="AB138" s="86" t="str">
        <f t="shared" si="74"/>
        <v>5.78619581708889-0.329296183156716j</v>
      </c>
      <c r="AC138" s="86">
        <f t="shared" si="75"/>
        <v>15.261905837588998</v>
      </c>
      <c r="AD138" s="86">
        <f t="shared" si="76"/>
        <v>176.74277325996457</v>
      </c>
      <c r="AF138" s="86" t="str">
        <f t="shared" si="77"/>
        <v>3.99247689237356-1.0075126859379j</v>
      </c>
      <c r="AG138" s="86">
        <f t="shared" si="78"/>
        <v>12.292966042778332</v>
      </c>
      <c r="AH138" s="86">
        <f t="shared" si="79"/>
        <v>165.83695166085536</v>
      </c>
      <c r="AJ138" s="86" t="str">
        <f t="shared" si="80"/>
        <v>104087.29220137-9746.86017805161j</v>
      </c>
      <c r="AK138" s="86" t="str">
        <f t="shared" si="81"/>
        <v>20000-7.58996651120868E-06j</v>
      </c>
      <c r="AL138" s="86" t="str">
        <f t="shared" si="95"/>
        <v>10000-1171136.77323371j</v>
      </c>
      <c r="AM138" s="86" t="str">
        <f t="shared" si="96"/>
        <v>963.105721921139-363461.911474393j</v>
      </c>
      <c r="AN138" s="86" t="str">
        <f t="shared" si="97"/>
        <v>10963.1057219211-363461.911474393j</v>
      </c>
      <c r="AO138" s="86" t="str">
        <f t="shared" si="98"/>
        <v>19906.9221586662-1092.59873227944j</v>
      </c>
      <c r="AP138" s="86" t="str">
        <f t="shared" si="99"/>
        <v>0.16018851930539+0.0125825543109674j</v>
      </c>
      <c r="AQ138" s="86" t="str">
        <f t="shared" si="82"/>
        <v>1+0.580632438107464j</v>
      </c>
      <c r="AR138" s="86">
        <f t="shared" si="83"/>
        <v>9.9889825480986074E-8</v>
      </c>
      <c r="AS138" s="86" t="str">
        <f t="shared" si="84"/>
        <v>0.0000228281525265996j</v>
      </c>
      <c r="AT138" s="86" t="str">
        <f t="shared" si="85"/>
        <v>9.98898254809861E-08+0.0000228281525265996j</v>
      </c>
      <c r="AU138" s="86" t="str">
        <f t="shared" si="86"/>
        <v>3.84391793994372-6.5540140199029j</v>
      </c>
      <c r="AW138" s="86" t="str">
        <f t="shared" si="100"/>
        <v>0.684891149299795-1.01055356755015j</v>
      </c>
      <c r="AX138" s="86">
        <f t="shared" si="87"/>
        <v>1.7327206931983152</v>
      </c>
      <c r="AY138" s="86">
        <f t="shared" si="88"/>
        <v>124.12700849601856</v>
      </c>
      <c r="AZ138" s="86" t="str">
        <f t="shared" si="89"/>
        <v>3.63014287057001-6.07279286684517j</v>
      </c>
      <c r="BA138" s="86">
        <f t="shared" si="90"/>
        <v>16.994626530787311</v>
      </c>
      <c r="BB138" s="86">
        <f t="shared" si="91"/>
        <v>120.86978175598315</v>
      </c>
      <c r="BD138" s="86" t="str">
        <f t="shared" si="92"/>
        <v>1.71626654824402-4.72464828835576j</v>
      </c>
      <c r="BE138" s="86">
        <f t="shared" si="93"/>
        <v>14.025686735976633</v>
      </c>
      <c r="BF138" s="86">
        <f t="shared" si="94"/>
        <v>109.96396015687394</v>
      </c>
      <c r="BH138" s="86">
        <f t="shared" si="101"/>
        <v>-13.025686735976633</v>
      </c>
      <c r="BI138" s="162">
        <f t="shared" si="102"/>
        <v>-109.96396015687394</v>
      </c>
      <c r="BJ138" s="88"/>
      <c r="BK138" s="88"/>
      <c r="BL138" s="88"/>
      <c r="BM138" s="88"/>
      <c r="BN138" s="42"/>
      <c r="BO138" s="42"/>
      <c r="BP138" s="42"/>
    </row>
    <row r="139" spans="1:68" s="86" customFormat="1">
      <c r="A139" s="86">
        <v>75</v>
      </c>
      <c r="B139" s="86">
        <f t="shared" si="52"/>
        <v>3162.2776601683804</v>
      </c>
      <c r="C139" s="86" t="str">
        <f t="shared" si="53"/>
        <v>19869.1765315922j</v>
      </c>
      <c r="D139" s="86">
        <f t="shared" si="54"/>
        <v>0.99987688519544471</v>
      </c>
      <c r="E139" s="86" t="str">
        <f t="shared" si="55"/>
        <v>-0.0174291022206949j</v>
      </c>
      <c r="F139" s="86" t="str">
        <f t="shared" si="56"/>
        <v>0.999876885195445-0.0174291022206949j</v>
      </c>
      <c r="G139" s="86">
        <f t="shared" si="57"/>
        <v>2.4996902861522505E-4</v>
      </c>
      <c r="H139" s="86">
        <f t="shared" si="58"/>
        <v>-0.99863582080980051</v>
      </c>
      <c r="J139" s="86">
        <f t="shared" si="59"/>
        <v>8.3707025411061284</v>
      </c>
      <c r="K139" s="86" t="str">
        <f t="shared" si="60"/>
        <v>1+0.853026325308106j</v>
      </c>
      <c r="L139" s="86">
        <f t="shared" si="61"/>
        <v>0.95389080153747574</v>
      </c>
      <c r="M139" s="86" t="str">
        <f t="shared" si="62"/>
        <v>0.0585190313587783j</v>
      </c>
      <c r="N139" s="86" t="str">
        <f t="shared" si="63"/>
        <v>0.953890801537476+0.0585190313587783j</v>
      </c>
      <c r="O139" s="86" t="str">
        <f t="shared" si="64"/>
        <v>1.09906246997786+0.826834951014284j</v>
      </c>
      <c r="P139" s="86" t="str">
        <f t="shared" si="65"/>
        <v>9.19992501027805+6.92118942553063j</v>
      </c>
      <c r="R139" s="86">
        <f t="shared" si="66"/>
        <v>11.958146487294469</v>
      </c>
      <c r="S139" s="86" t="str">
        <f t="shared" si="67"/>
        <v>1+0.00149018823986941j</v>
      </c>
      <c r="T139" s="86" t="str">
        <f t="shared" si="68"/>
        <v>0.953890801537476+0.0585190313587783j</v>
      </c>
      <c r="U139" s="86" t="str">
        <f t="shared" si="69"/>
        <v>1.04450283299675-0.0625156524231953j</v>
      </c>
      <c r="V139" s="86" t="str">
        <f t="shared" si="70"/>
        <v>12.4903178833692-0.747571329425355j</v>
      </c>
      <c r="X139" s="86" t="str">
        <f t="shared" si="71"/>
        <v>0.385735548598589+0.279799397460523j</v>
      </c>
      <c r="Y139" s="86">
        <f t="shared" si="72"/>
        <v>-6.4382184833391491</v>
      </c>
      <c r="Z139" s="86">
        <f t="shared" si="73"/>
        <v>-144.04415046823303</v>
      </c>
      <c r="AB139" s="86" t="str">
        <f t="shared" si="74"/>
        <v>5.8087695746933-0.347666859548947j</v>
      </c>
      <c r="AC139" s="86">
        <f t="shared" si="75"/>
        <v>15.297212780610073</v>
      </c>
      <c r="AD139" s="86">
        <f t="shared" si="76"/>
        <v>176.57481530597974</v>
      </c>
      <c r="AF139" s="86" t="str">
        <f t="shared" si="77"/>
        <v>3.97895408000341-1.05429626535488j</v>
      </c>
      <c r="AG139" s="86">
        <f t="shared" si="78"/>
        <v>12.290061050493961</v>
      </c>
      <c r="AH139" s="86">
        <f t="shared" si="79"/>
        <v>165.15947587900666</v>
      </c>
      <c r="AJ139" s="86" t="str">
        <f t="shared" si="80"/>
        <v>104000.074369384-10197.6634553187j</v>
      </c>
      <c r="AK139" s="86" t="str">
        <f t="shared" si="81"/>
        <v>20000-7.94767061263688E-06j</v>
      </c>
      <c r="AL139" s="86" t="str">
        <f t="shared" si="95"/>
        <v>10000-1118426.93565527j</v>
      </c>
      <c r="AM139" s="86" t="str">
        <f t="shared" si="96"/>
        <v>963.102499848066-347103.953288955j</v>
      </c>
      <c r="AN139" s="86" t="str">
        <f t="shared" si="97"/>
        <v>10963.1024998481-347103.953288955j</v>
      </c>
      <c r="AO139" s="86" t="str">
        <f t="shared" si="98"/>
        <v>19898.0133847066-1143.29490334637j</v>
      </c>
      <c r="AP139" s="86" t="str">
        <f t="shared" si="99"/>
        <v>0.160206702832303+0.0131752665504776j</v>
      </c>
      <c r="AQ139" s="86" t="str">
        <f t="shared" si="82"/>
        <v>1+0.607996801866721j</v>
      </c>
      <c r="AR139" s="86">
        <f t="shared" si="83"/>
        <v>9.9879196042130665E-8</v>
      </c>
      <c r="AS139" s="86" t="str">
        <f t="shared" si="84"/>
        <v>0.0000239040102098626j</v>
      </c>
      <c r="AT139" s="86" t="str">
        <f t="shared" si="85"/>
        <v>9.98791960421307E-08+0.0000239040102098626j</v>
      </c>
      <c r="AU139" s="86" t="str">
        <f t="shared" si="86"/>
        <v>3.84139180256326-6.25904706204261j</v>
      </c>
      <c r="AW139" s="86" t="str">
        <f t="shared" si="100"/>
        <v>0.684603199125737-0.961594140110656j</v>
      </c>
      <c r="AX139" s="86">
        <f t="shared" si="87"/>
        <v>1.4405861066047048</v>
      </c>
      <c r="AY139" s="86">
        <f t="shared" si="88"/>
        <v>125.44881672886618</v>
      </c>
      <c r="AZ139" s="86" t="str">
        <f t="shared" si="89"/>
        <v>3.64238781896634-5.82369262855535j</v>
      </c>
      <c r="BA139" s="86">
        <f t="shared" si="90"/>
        <v>16.737798887214776</v>
      </c>
      <c r="BB139" s="86">
        <f t="shared" si="91"/>
        <v>122.02363203484593</v>
      </c>
      <c r="BD139" s="86" t="str">
        <f t="shared" si="92"/>
        <v>1.71019958163894-4.54791352318893j</v>
      </c>
      <c r="BE139" s="86">
        <f t="shared" si="93"/>
        <v>13.730647157098662</v>
      </c>
      <c r="BF139" s="86">
        <f t="shared" si="94"/>
        <v>110.60829260787288</v>
      </c>
      <c r="BH139" s="86">
        <f t="shared" si="101"/>
        <v>-12.730647157098662</v>
      </c>
      <c r="BI139" s="162">
        <f t="shared" si="102"/>
        <v>-110.60829260787288</v>
      </c>
      <c r="BJ139" s="88"/>
      <c r="BK139" s="88"/>
      <c r="BL139" s="88"/>
      <c r="BM139" s="88"/>
      <c r="BN139" s="42"/>
      <c r="BO139" s="42"/>
      <c r="BP139" s="42"/>
    </row>
    <row r="140" spans="1:68" s="86" customFormat="1">
      <c r="A140" s="86">
        <v>76</v>
      </c>
      <c r="B140" s="86">
        <f t="shared" si="52"/>
        <v>3311.3112148259129</v>
      </c>
      <c r="C140" s="86" t="str">
        <f t="shared" si="53"/>
        <v>20805.5819724932j</v>
      </c>
      <c r="D140" s="86">
        <f t="shared" si="54"/>
        <v>0.99986500730118277</v>
      </c>
      <c r="E140" s="86" t="str">
        <f t="shared" si="55"/>
        <v>-0.018250510502187j</v>
      </c>
      <c r="F140" s="86" t="str">
        <f t="shared" si="56"/>
        <v>0.999865007301183-0.018250510502187j</v>
      </c>
      <c r="G140" s="86">
        <f t="shared" si="57"/>
        <v>2.740917917641896E-4</v>
      </c>
      <c r="H140" s="86">
        <f t="shared" si="58"/>
        <v>-1.0457022813136048</v>
      </c>
      <c r="J140" s="86">
        <f t="shared" si="59"/>
        <v>8.3707025411061284</v>
      </c>
      <c r="K140" s="86" t="str">
        <f t="shared" si="60"/>
        <v>1+0.893228217469074j</v>
      </c>
      <c r="L140" s="86">
        <f t="shared" si="61"/>
        <v>0.94944226924420305</v>
      </c>
      <c r="M140" s="86" t="str">
        <f t="shared" si="62"/>
        <v>0.0612769483400627j</v>
      </c>
      <c r="N140" s="86" t="str">
        <f t="shared" si="63"/>
        <v>0.949442269244203+0.0612769483400627j</v>
      </c>
      <c r="O140" s="86" t="str">
        <f t="shared" si="64"/>
        <v>1.10934774087501+0.869195316021948j</v>
      </c>
      <c r="P140" s="86" t="str">
        <f t="shared" si="65"/>
        <v>9.28601995351279+7.27577544054246j</v>
      </c>
      <c r="R140" s="86">
        <f t="shared" si="66"/>
        <v>11.958146487294469</v>
      </c>
      <c r="S140" s="86" t="str">
        <f t="shared" si="67"/>
        <v>1+0.00156041864793699j</v>
      </c>
      <c r="T140" s="86" t="str">
        <f t="shared" si="68"/>
        <v>0.949442269244203+0.0612769483400627j</v>
      </c>
      <c r="U140" s="86" t="str">
        <f t="shared" si="69"/>
        <v>1.04898654550007-0.0660580192622117j</v>
      </c>
      <c r="V140" s="86" t="str">
        <f t="shared" si="70"/>
        <v>12.5439347742908-0.789931470998047j</v>
      </c>
      <c r="X140" s="86" t="str">
        <f t="shared" si="71"/>
        <v>0.38979722077553+0.294092686162889j</v>
      </c>
      <c r="Y140" s="86">
        <f t="shared" si="72"/>
        <v>-6.2263476361656913</v>
      </c>
      <c r="Z140" s="86">
        <f t="shared" si="73"/>
        <v>-142.96631931613038</v>
      </c>
      <c r="AB140" s="86" t="str">
        <f t="shared" si="74"/>
        <v>5.83370474188306-0.367366942752977j</v>
      </c>
      <c r="AC140" s="86">
        <f t="shared" si="75"/>
        <v>15.336077309030671</v>
      </c>
      <c r="AD140" s="86">
        <f t="shared" si="76"/>
        <v>176.39666065780702</v>
      </c>
      <c r="AF140" s="86" t="str">
        <f t="shared" si="77"/>
        <v>3.9640834379387-1.10316445181453j</v>
      </c>
      <c r="AG140" s="86">
        <f t="shared" si="78"/>
        <v>12.286807964684677</v>
      </c>
      <c r="AH140" s="86">
        <f t="shared" si="79"/>
        <v>164.4486511386138</v>
      </c>
      <c r="AJ140" s="86" t="str">
        <f t="shared" si="80"/>
        <v>103904.609761739-10668.4626466672j</v>
      </c>
      <c r="AK140" s="86" t="str">
        <f t="shared" si="81"/>
        <v>20000-8.32223278899728E-06j</v>
      </c>
      <c r="AL140" s="86" t="str">
        <f t="shared" si="95"/>
        <v>10000-1068089.43155745j</v>
      </c>
      <c r="AM140" s="86" t="str">
        <f t="shared" si="96"/>
        <v>963.098966939985-331482.249121641j</v>
      </c>
      <c r="AN140" s="86" t="str">
        <f t="shared" si="97"/>
        <v>10963.09896694-331482.249121641j</v>
      </c>
      <c r="AO140" s="86" t="str">
        <f t="shared" si="98"/>
        <v>19888.259386053-1196.26365547838j</v>
      </c>
      <c r="AP140" s="86" t="str">
        <f t="shared" si="99"/>
        <v>0.16022663976808+0.0137958702074522j</v>
      </c>
      <c r="AQ140" s="86" t="str">
        <f t="shared" si="82"/>
        <v>1+0.636650808358292j</v>
      </c>
      <c r="AR140" s="86">
        <f t="shared" si="83"/>
        <v>9.986754109418847E-8</v>
      </c>
      <c r="AS140" s="86" t="str">
        <f t="shared" si="84"/>
        <v>0.0000250305715036474j</v>
      </c>
      <c r="AT140" s="86" t="str">
        <f t="shared" si="85"/>
        <v>9.98675410941885E-08+0.0000250305715036474j</v>
      </c>
      <c r="AU140" s="86" t="str">
        <f t="shared" si="86"/>
        <v>3.83908793045148-5.97735452051263j</v>
      </c>
      <c r="AW140" s="86" t="str">
        <f t="shared" si="100"/>
        <v>0.684361993287453-0.914674594450758j</v>
      </c>
      <c r="AX140" s="86">
        <f t="shared" si="87"/>
        <v>1.156041724561288</v>
      </c>
      <c r="AY140" s="86">
        <f t="shared" si="88"/>
        <v>126.80393472052519</v>
      </c>
      <c r="AZ140" s="86" t="str">
        <f t="shared" si="89"/>
        <v>3.65634459602836-5.5873534921377j</v>
      </c>
      <c r="BA140" s="86">
        <f t="shared" si="90"/>
        <v>16.492119033591958</v>
      </c>
      <c r="BB140" s="86">
        <f t="shared" si="91"/>
        <v>123.20059537833217</v>
      </c>
      <c r="BD140" s="86" t="str">
        <f t="shared" si="92"/>
        <v>1.70383154556956-4.3808102341332j</v>
      </c>
      <c r="BE140" s="86">
        <f t="shared" si="93"/>
        <v>13.442849689245964</v>
      </c>
      <c r="BF140" s="86">
        <f t="shared" si="94"/>
        <v>111.25258585913897</v>
      </c>
      <c r="BH140" s="86">
        <f t="shared" si="101"/>
        <v>-12.442849689245964</v>
      </c>
      <c r="BI140" s="162">
        <f t="shared" si="102"/>
        <v>-111.25258585913897</v>
      </c>
      <c r="BJ140" s="88"/>
      <c r="BK140" s="88"/>
      <c r="BL140" s="88"/>
      <c r="BM140" s="88"/>
      <c r="BN140" s="42"/>
      <c r="BO140" s="42"/>
      <c r="BP140" s="42"/>
    </row>
    <row r="141" spans="1:68" s="86" customFormat="1">
      <c r="A141" s="86">
        <v>77</v>
      </c>
      <c r="B141" s="86">
        <f t="shared" si="52"/>
        <v>3467.3685045253178</v>
      </c>
      <c r="C141" s="86" t="str">
        <f t="shared" si="53"/>
        <v>21786.1188422107j</v>
      </c>
      <c r="D141" s="86">
        <f t="shared" si="54"/>
        <v>0.99985198344910831</v>
      </c>
      <c r="E141" s="86" t="str">
        <f t="shared" si="55"/>
        <v>-0.0191106305633427j</v>
      </c>
      <c r="F141" s="86" t="str">
        <f t="shared" si="56"/>
        <v>0.999851983449108-0.0191106305633427j</v>
      </c>
      <c r="G141" s="86">
        <f t="shared" si="57"/>
        <v>3.0054312997510984E-4</v>
      </c>
      <c r="H141" s="86">
        <f t="shared" si="58"/>
        <v>-1.0949872422398967</v>
      </c>
      <c r="J141" s="86">
        <f t="shared" si="59"/>
        <v>8.3707025411061284</v>
      </c>
      <c r="K141" s="86" t="str">
        <f t="shared" si="60"/>
        <v>1+0.935324766436481j</v>
      </c>
      <c r="L141" s="86">
        <f t="shared" si="61"/>
        <v>0.94456455057979127</v>
      </c>
      <c r="M141" s="86" t="str">
        <f t="shared" si="62"/>
        <v>0.0641648419443197j</v>
      </c>
      <c r="N141" s="86" t="str">
        <f t="shared" si="63"/>
        <v>0.944564550579791+0.0641648419443197j</v>
      </c>
      <c r="O141" s="86" t="str">
        <f t="shared" si="64"/>
        <v>1.12078307045176+0.914082470422056j</v>
      </c>
      <c r="P141" s="86" t="str">
        <f t="shared" si="65"/>
        <v>9.38174169585928+7.65151245794247j</v>
      </c>
      <c r="R141" s="86">
        <f t="shared" si="66"/>
        <v>11.958146487294469</v>
      </c>
      <c r="S141" s="86" t="str">
        <f t="shared" si="67"/>
        <v>1+0.0016339589131658j</v>
      </c>
      <c r="T141" s="86" t="str">
        <f t="shared" si="68"/>
        <v>0.944564550579791+0.0641648419443197j</v>
      </c>
      <c r="U141" s="86" t="str">
        <f t="shared" si="69"/>
        <v>1.05394291433436-0.0698651262774226j</v>
      </c>
      <c r="V141" s="86" t="str">
        <f t="shared" si="70"/>
        <v>12.6032037588563-0.835457414378746j</v>
      </c>
      <c r="X141" s="86" t="str">
        <f t="shared" si="71"/>
        <v>0.39430983012852+0.309232099337694j</v>
      </c>
      <c r="Y141" s="86">
        <f t="shared" si="72"/>
        <v>-6.0014510063344604</v>
      </c>
      <c r="Z141" s="86">
        <f t="shared" si="73"/>
        <v>-141.89516827960523</v>
      </c>
      <c r="AB141" s="86" t="str">
        <f t="shared" si="74"/>
        <v>5.86126848185204-0.388539319408108j</v>
      </c>
      <c r="AC141" s="86">
        <f t="shared" si="75"/>
        <v>15.378874566960281</v>
      </c>
      <c r="AD141" s="86">
        <f t="shared" si="76"/>
        <v>176.20745218693219</v>
      </c>
      <c r="AF141" s="86" t="str">
        <f t="shared" si="77"/>
        <v>3.94772718162608-1.15419345730818j</v>
      </c>
      <c r="AG141" s="86">
        <f t="shared" si="78"/>
        <v>12.283159669179096</v>
      </c>
      <c r="AH141" s="86">
        <f t="shared" si="79"/>
        <v>163.7027109669005</v>
      </c>
      <c r="AJ141" s="86" t="str">
        <f t="shared" si="80"/>
        <v>103800.13613645-11160.0193719209j</v>
      </c>
      <c r="AK141" s="86" t="str">
        <f t="shared" si="81"/>
        <v>20000-8.71444753688428E-06j</v>
      </c>
      <c r="AL141" s="86" t="str">
        <f t="shared" si="95"/>
        <v>10000-1020017.48834522j</v>
      </c>
      <c r="AM141" s="86" t="str">
        <f t="shared" si="96"/>
        <v>963.095093213087-316563.66324291j</v>
      </c>
      <c r="AN141" s="86" t="str">
        <f t="shared" si="97"/>
        <v>10963.0950932131-316563.66324291j</v>
      </c>
      <c r="AO141" s="86" t="str">
        <f t="shared" si="98"/>
        <v>19877.5814653799-1251.59515138391j</v>
      </c>
      <c r="AP141" s="86" t="str">
        <f t="shared" si="99"/>
        <v>0.160248499095472+0.0144456735082878j</v>
      </c>
      <c r="AQ141" s="86" t="str">
        <f t="shared" si="82"/>
        <v>1+0.666655236571647j</v>
      </c>
      <c r="AR141" s="86">
        <f t="shared" si="83"/>
        <v>9.9854761697892676E-8</v>
      </c>
      <c r="AS141" s="86" t="str">
        <f t="shared" si="84"/>
        <v>0.0000262102259954984j</v>
      </c>
      <c r="AT141" s="86" t="str">
        <f t="shared" si="85"/>
        <v>9.98547616978927E-08+0.0000262102259954984j</v>
      </c>
      <c r="AU141" s="86" t="str">
        <f t="shared" si="86"/>
        <v>3.83698676792503-5.70833912787885j</v>
      </c>
      <c r="AW141" s="86" t="str">
        <f t="shared" si="100"/>
        <v>0.684165481431688-0.869695521763727j</v>
      </c>
      <c r="AX141" s="86">
        <f t="shared" si="87"/>
        <v>0.87942015530712847</v>
      </c>
      <c r="AY141" s="86">
        <f t="shared" si="88"/>
        <v>128.1911534745754</v>
      </c>
      <c r="AZ141" s="86" t="str">
        <f t="shared" si="89"/>
        <v>3.67216666656832-5.36334414103958j</v>
      </c>
      <c r="BA141" s="86">
        <f t="shared" si="90"/>
        <v>16.258294722267401</v>
      </c>
      <c r="BB141" s="86">
        <f t="shared" si="91"/>
        <v>124.3986056615076</v>
      </c>
      <c r="BD141" s="86" t="str">
        <f t="shared" si="92"/>
        <v>1.69710178670825-4.22297997338969j</v>
      </c>
      <c r="BE141" s="86">
        <f t="shared" si="93"/>
        <v>13.162579824486215</v>
      </c>
      <c r="BF141" s="86">
        <f t="shared" si="94"/>
        <v>111.89386444147593</v>
      </c>
      <c r="BH141" s="86">
        <f t="shared" si="101"/>
        <v>-12.162579824486215</v>
      </c>
      <c r="BI141" s="162">
        <f t="shared" si="102"/>
        <v>-111.89386444147593</v>
      </c>
      <c r="BJ141" s="88"/>
      <c r="BK141" s="88"/>
      <c r="BL141" s="88"/>
      <c r="BM141" s="88"/>
      <c r="BN141" s="42"/>
      <c r="BO141" s="42"/>
      <c r="BP141" s="42"/>
    </row>
    <row r="142" spans="1:68" s="86" customFormat="1">
      <c r="A142" s="86">
        <v>78</v>
      </c>
      <c r="B142" s="86">
        <f t="shared" si="52"/>
        <v>3630.7805477010156</v>
      </c>
      <c r="C142" s="86" t="str">
        <f t="shared" si="53"/>
        <v>22812.8669909085j</v>
      </c>
      <c r="D142" s="86">
        <f t="shared" si="54"/>
        <v>0.99983770307927899</v>
      </c>
      <c r="E142" s="86" t="str">
        <f t="shared" si="55"/>
        <v>-0.0200112868341303j</v>
      </c>
      <c r="F142" s="86" t="str">
        <f t="shared" si="56"/>
        <v>0.999837703079279-0.0200112868341303j</v>
      </c>
      <c r="G142" s="86">
        <f t="shared" si="57"/>
        <v>3.2954795366529985E-4</v>
      </c>
      <c r="H142" s="86">
        <f t="shared" si="58"/>
        <v>-1.146595306638245</v>
      </c>
      <c r="J142" s="86">
        <f t="shared" si="59"/>
        <v>8.3707025411061284</v>
      </c>
      <c r="K142" s="86" t="str">
        <f t="shared" si="60"/>
        <v>1+0.979405264634682j</v>
      </c>
      <c r="L142" s="86">
        <f t="shared" si="61"/>
        <v>0.93921623841734236</v>
      </c>
      <c r="M142" s="86" t="str">
        <f t="shared" si="62"/>
        <v>0.0671888377810711j</v>
      </c>
      <c r="N142" s="86" t="str">
        <f t="shared" si="63"/>
        <v>0.939216238417342+0.0671888377810711j</v>
      </c>
      <c r="O142" s="86" t="str">
        <f t="shared" si="64"/>
        <v>1.13351490966933+0.961701553167914j</v>
      </c>
      <c r="P142" s="86" t="str">
        <f t="shared" si="65"/>
        <v>9.48831613475074+8.05011763488837j</v>
      </c>
      <c r="R142" s="86">
        <f t="shared" si="66"/>
        <v>11.958146487294469</v>
      </c>
      <c r="S142" s="86" t="str">
        <f t="shared" si="67"/>
        <v>1+0.00171096502431814j</v>
      </c>
      <c r="T142" s="86" t="str">
        <f t="shared" si="68"/>
        <v>0.939216238417342+0.0671888377810711j</v>
      </c>
      <c r="U142" s="86" t="str">
        <f t="shared" si="69"/>
        <v>1.05942617707809-0.0739666177891748j</v>
      </c>
      <c r="V142" s="86" t="str">
        <f t="shared" si="70"/>
        <v>12.6687734179742-0.884503650692673j</v>
      </c>
      <c r="X142" s="86" t="str">
        <f t="shared" si="71"/>
        <v>0.399330131483309+0.325285354858796j</v>
      </c>
      <c r="Y142" s="86">
        <f t="shared" si="72"/>
        <v>-5.7630348689080337</v>
      </c>
      <c r="Z142" s="86">
        <f t="shared" si="73"/>
        <v>-140.83451344687347</v>
      </c>
      <c r="AB142" s="86" t="str">
        <f t="shared" si="74"/>
        <v>5.89176242479757-0.41134884979107j</v>
      </c>
      <c r="AC142" s="86">
        <f t="shared" si="75"/>
        <v>15.42602278494072</v>
      </c>
      <c r="AD142" s="86">
        <f t="shared" si="76"/>
        <v>176.00622565164952</v>
      </c>
      <c r="AF142" s="86" t="str">
        <f t="shared" si="77"/>
        <v>3.92973298227081-1.20745876860259j</v>
      </c>
      <c r="AG142" s="86">
        <f t="shared" si="78"/>
        <v>12.279061829222561</v>
      </c>
      <c r="AH142" s="86">
        <f t="shared" si="79"/>
        <v>162.91978089993273</v>
      </c>
      <c r="AJ142" s="86" t="str">
        <f t="shared" si="80"/>
        <v>103685.824291482-11673.1054823252j</v>
      </c>
      <c r="AK142" s="86" t="str">
        <f t="shared" si="81"/>
        <v>20000-0.0000091251467963634j</v>
      </c>
      <c r="AL142" s="86" t="str">
        <f t="shared" si="95"/>
        <v>10000-974109.138981891j</v>
      </c>
      <c r="AM142" s="86" t="str">
        <f t="shared" si="96"/>
        <v>963.090845791824-302316.551331286j</v>
      </c>
      <c r="AN142" s="86" t="str">
        <f t="shared" si="97"/>
        <v>10963.0908457918-302316.551331286j</v>
      </c>
      <c r="AO142" s="86" t="str">
        <f t="shared" si="98"/>
        <v>19865.8938965333-1309.3813803411j</v>
      </c>
      <c r="AP142" s="86" t="str">
        <f t="shared" si="99"/>
        <v>0.160272466063393+0.015126045408395j</v>
      </c>
      <c r="AQ142" s="86" t="str">
        <f t="shared" si="82"/>
        <v>1+0.6980737299218j</v>
      </c>
      <c r="AR142" s="86">
        <f t="shared" si="83"/>
        <v>9.9840749368494461E-8</v>
      </c>
      <c r="AS142" s="86" t="str">
        <f t="shared" si="84"/>
        <v>0.0000274454758907523j</v>
      </c>
      <c r="AT142" s="86" t="str">
        <f t="shared" si="85"/>
        <v>9.98407493684945E-08+0.0000274454758907523j</v>
      </c>
      <c r="AU142" s="86" t="str">
        <f t="shared" si="86"/>
        <v>3.8350704797782-5.45143047564466j</v>
      </c>
      <c r="AW142" s="86" t="str">
        <f t="shared" si="100"/>
        <v>0.684011991941892-0.826561635445678j</v>
      </c>
      <c r="AX142" s="86">
        <f t="shared" si="87"/>
        <v>0.61104203558567838</v>
      </c>
      <c r="AY142" s="86">
        <f t="shared" si="88"/>
        <v>129.60908302147942</v>
      </c>
      <c r="AZ142" s="86" t="str">
        <f t="shared" si="89"/>
        <v>3.69003097421217-5.15127233162667j</v>
      </c>
      <c r="BA142" s="86">
        <f t="shared" si="90"/>
        <v>16.037064820526396</v>
      </c>
      <c r="BB142" s="86">
        <f t="shared" si="91"/>
        <v>125.61530867312894</v>
      </c>
      <c r="BD142" s="86" t="str">
        <f t="shared" si="92"/>
        <v>1.68994539049342-4.07408279819015j</v>
      </c>
      <c r="BE142" s="86">
        <f t="shared" si="93"/>
        <v>12.890103864808244</v>
      </c>
      <c r="BF142" s="86">
        <f t="shared" si="94"/>
        <v>112.52886392141205</v>
      </c>
      <c r="BH142" s="86">
        <f t="shared" si="101"/>
        <v>-11.890103864808244</v>
      </c>
      <c r="BI142" s="162">
        <f t="shared" si="102"/>
        <v>-112.52886392141205</v>
      </c>
      <c r="BJ142" s="88"/>
      <c r="BK142" s="88"/>
      <c r="BL142" s="88"/>
      <c r="BM142" s="88"/>
      <c r="BN142" s="42"/>
      <c r="BO142" s="42"/>
      <c r="BP142" s="42"/>
    </row>
    <row r="143" spans="1:68" s="86" customFormat="1">
      <c r="A143" s="86">
        <v>79</v>
      </c>
      <c r="B143" s="86">
        <f t="shared" si="52"/>
        <v>3801.893963205614</v>
      </c>
      <c r="C143" s="86" t="str">
        <f t="shared" si="53"/>
        <v>23888.0042890683j</v>
      </c>
      <c r="D143" s="86">
        <f t="shared" si="54"/>
        <v>0.99982204496512828</v>
      </c>
      <c r="E143" s="86" t="str">
        <f t="shared" si="55"/>
        <v>-0.0209543897272529j</v>
      </c>
      <c r="F143" s="86" t="str">
        <f t="shared" si="56"/>
        <v>0.999822044965128-0.0209543897272529j</v>
      </c>
      <c r="G143" s="86">
        <f t="shared" si="57"/>
        <v>3.6135292349393058E-4</v>
      </c>
      <c r="H143" s="86">
        <f t="shared" si="58"/>
        <v>-1.2006360145046902</v>
      </c>
      <c r="J143" s="86">
        <f t="shared" si="59"/>
        <v>8.3707025411061284</v>
      </c>
      <c r="K143" s="86" t="str">
        <f t="shared" si="60"/>
        <v>1+1.02556321271032j</v>
      </c>
      <c r="L143" s="86">
        <f t="shared" si="61"/>
        <v>0.93335193074505018</v>
      </c>
      <c r="M143" s="86" t="str">
        <f t="shared" si="62"/>
        <v>0.0703553501509204j</v>
      </c>
      <c r="N143" s="86" t="str">
        <f t="shared" si="63"/>
        <v>0.93335193074505+0.0703553501509204j</v>
      </c>
      <c r="O143" s="86" t="str">
        <f t="shared" si="64"/>
        <v>1.14771227329749+1.0122821657376j</v>
      </c>
      <c r="P143" s="86" t="str">
        <f t="shared" si="65"/>
        <v>9.60715804254999+8.47351289705614j</v>
      </c>
      <c r="R143" s="86">
        <f t="shared" si="66"/>
        <v>11.958146487294469</v>
      </c>
      <c r="S143" s="86" t="str">
        <f t="shared" si="67"/>
        <v>1+0.00179160032168012j</v>
      </c>
      <c r="T143" s="86" t="str">
        <f t="shared" si="68"/>
        <v>0.93335193074505+0.0703553501509204j</v>
      </c>
      <c r="U143" s="86" t="str">
        <f t="shared" si="69"/>
        <v>1.06549772743647-0.0783968650696559j</v>
      </c>
      <c r="V143" s="86" t="str">
        <f t="shared" si="70"/>
        <v>12.7413779065647-0.937481196647604j</v>
      </c>
      <c r="X143" s="86" t="str">
        <f t="shared" si="71"/>
        <v>0.404923489102945+0.342328106022843j</v>
      </c>
      <c r="Y143" s="86">
        <f t="shared" si="72"/>
        <v>-5.510594959292483</v>
      </c>
      <c r="Z143" s="86">
        <f t="shared" si="73"/>
        <v>-139.78834402551348</v>
      </c>
      <c r="AB143" s="86" t="str">
        <f t="shared" si="74"/>
        <v>5.92552799811995-0.435986682067114j</v>
      </c>
      <c r="AC143" s="86">
        <f t="shared" si="75"/>
        <v>15.47798897788676</v>
      </c>
      <c r="AD143" s="86">
        <f t="shared" si="76"/>
        <v>175.79189155207652</v>
      </c>
      <c r="AF143" s="86" t="str">
        <f t="shared" si="77"/>
        <v>3.90993241217849-1.26303421728575j</v>
      </c>
      <c r="AG143" s="86">
        <f t="shared" si="78"/>
        <v>12.274451677089735</v>
      </c>
      <c r="AH143" s="86">
        <f t="shared" si="79"/>
        <v>162.09787081393989</v>
      </c>
      <c r="AJ143" s="86" t="str">
        <f t="shared" si="80"/>
        <v>103560.772881152-12208.5000216813j</v>
      </c>
      <c r="AK143" s="86" t="str">
        <f t="shared" si="81"/>
        <v>20000-9.55520171562732E-06j</v>
      </c>
      <c r="AL143" s="86" t="str">
        <f t="shared" si="95"/>
        <v>10000-930267.005703431j</v>
      </c>
      <c r="AM143" s="86" t="str">
        <f t="shared" si="96"/>
        <v>963.08618863008-288710.693351514j</v>
      </c>
      <c r="AN143" s="86" t="str">
        <f t="shared" si="97"/>
        <v>10963.0861886301-288710.693351514j</v>
      </c>
      <c r="AO143" s="86" t="str">
        <f t="shared" si="98"/>
        <v>19853.1033565583-1369.71590737868j</v>
      </c>
      <c r="AP143" s="86" t="str">
        <f t="shared" si="99"/>
        <v>0.160298743748785+0.0158384183173683j</v>
      </c>
      <c r="AQ143" s="86" t="str">
        <f t="shared" si="82"/>
        <v>1+0.73097293124549j</v>
      </c>
      <c r="AR143" s="86">
        <f t="shared" si="83"/>
        <v>9.9825385154832146E-8</v>
      </c>
      <c r="AS143" s="86" t="str">
        <f t="shared" si="84"/>
        <v>0.0000287389413200494j</v>
      </c>
      <c r="AT143" s="86" t="str">
        <f t="shared" si="85"/>
        <v>9.98253851548321E-08+0.0000287389413200494j</v>
      </c>
      <c r="AU143" s="86" t="str">
        <f t="shared" si="86"/>
        <v>3.83332279993498-5.20608380833761j</v>
      </c>
      <c r="AW143" s="86" t="str">
        <f t="shared" si="100"/>
        <v>0.683900217631699-0.785181571268536j</v>
      </c>
      <c r="AX143" s="86">
        <f t="shared" si="87"/>
        <v>0.35121262577595502</v>
      </c>
      <c r="AY143" s="86">
        <f t="shared" si="88"/>
        <v>131.05615805725012</v>
      </c>
      <c r="AZ143" s="86" t="str">
        <f t="shared" si="89"/>
        <v>3.71014117941935-4.95078677090974j</v>
      </c>
      <c r="BA143" s="86">
        <f t="shared" si="90"/>
        <v>15.82920160366271</v>
      </c>
      <c r="BB143" s="86">
        <f t="shared" si="91"/>
        <v>126.84804960932671</v>
      </c>
      <c r="BD143" s="86" t="str">
        <f t="shared" si="92"/>
        <v>1.68229243631975-3.93379625102609j</v>
      </c>
      <c r="BE143" s="86">
        <f t="shared" si="93"/>
        <v>12.625664302865687</v>
      </c>
      <c r="BF143" s="86">
        <f t="shared" si="94"/>
        <v>113.15402887119001</v>
      </c>
      <c r="BH143" s="86">
        <f t="shared" si="101"/>
        <v>-11.625664302865687</v>
      </c>
      <c r="BI143" s="162">
        <f t="shared" si="102"/>
        <v>-113.15402887119001</v>
      </c>
      <c r="BJ143" s="88"/>
      <c r="BK143" s="88"/>
      <c r="BL143" s="88"/>
      <c r="BM143" s="88"/>
      <c r="BN143" s="42"/>
      <c r="BO143" s="42"/>
      <c r="BP143" s="42"/>
    </row>
    <row r="144" spans="1:68" s="86" customFormat="1">
      <c r="A144" s="86">
        <v>80</v>
      </c>
      <c r="B144" s="86">
        <f t="shared" si="52"/>
        <v>3981.0717055349755</v>
      </c>
      <c r="C144" s="86" t="str">
        <f t="shared" si="53"/>
        <v>25013.8112470457j</v>
      </c>
      <c r="D144" s="86">
        <f t="shared" si="54"/>
        <v>0.9998048761843692</v>
      </c>
      <c r="E144" s="86" t="str">
        <f t="shared" si="55"/>
        <v>-0.021941939690391j</v>
      </c>
      <c r="F144" s="86" t="str">
        <f t="shared" si="56"/>
        <v>0.999804876184369-0.021941939690391j</v>
      </c>
      <c r="G144" s="86">
        <f t="shared" si="57"/>
        <v>3.9622855918231871E-4</v>
      </c>
      <c r="H144" s="86">
        <f t="shared" si="58"/>
        <v>-1.2572240765116685</v>
      </c>
      <c r="J144" s="86">
        <f t="shared" si="59"/>
        <v>8.3707025411061284</v>
      </c>
      <c r="K144" s="86" t="str">
        <f t="shared" si="60"/>
        <v>1+1.07389651785977j</v>
      </c>
      <c r="L144" s="86">
        <f t="shared" si="61"/>
        <v>0.92692184524690691</v>
      </c>
      <c r="M144" s="86" t="str">
        <f t="shared" si="62"/>
        <v>0.0736710956511457j</v>
      </c>
      <c r="N144" s="86" t="str">
        <f t="shared" si="63"/>
        <v>0.926921845246907+0.0736710956511457j</v>
      </c>
      <c r="O144" s="86" t="str">
        <f t="shared" si="64"/>
        <v>1.16357107748894+1.06608228814583j</v>
      </c>
      <c r="P144" s="86" t="str">
        <f t="shared" si="65"/>
        <v>9.73990737509427+8.92385771841054j</v>
      </c>
      <c r="R144" s="86">
        <f t="shared" si="66"/>
        <v>11.958146487294469</v>
      </c>
      <c r="S144" s="86" t="str">
        <f t="shared" si="67"/>
        <v>1+0.00187603584352843j</v>
      </c>
      <c r="T144" s="86" t="str">
        <f t="shared" si="68"/>
        <v>0.926921845246907+0.0736710956511457j</v>
      </c>
      <c r="U144" s="86" t="str">
        <f t="shared" si="69"/>
        <v>1.0722272542314-0.0831959254797548j</v>
      </c>
      <c r="V144" s="86" t="str">
        <f t="shared" si="70"/>
        <v>12.8218505737686-0.994869064032942j</v>
      </c>
      <c r="X144" s="86" t="str">
        <f t="shared" si="71"/>
        <v>0.411165505146845+0.360445188690275j</v>
      </c>
      <c r="Y144" s="86">
        <f t="shared" si="72"/>
        <v>-5.2436104845596425</v>
      </c>
      <c r="Z144" s="86">
        <f t="shared" si="73"/>
        <v>-138.760815365014</v>
      </c>
      <c r="AB144" s="86" t="str">
        <f t="shared" si="74"/>
        <v>5.96295276066109-0.462675586315767j</v>
      </c>
      <c r="AC144" s="86">
        <f t="shared" si="75"/>
        <v>15.535295554542255</v>
      </c>
      <c r="AD144" s="86">
        <f t="shared" si="76"/>
        <v>175.56321319522638</v>
      </c>
      <c r="AF144" s="86" t="str">
        <f t="shared" si="77"/>
        <v>3.88813924200271-1.32099081380218j</v>
      </c>
      <c r="AG144" s="86">
        <f t="shared" si="78"/>
        <v>12.269256583937649</v>
      </c>
      <c r="AH144" s="86">
        <f t="shared" si="79"/>
        <v>161.23486680004083</v>
      </c>
      <c r="AJ144" s="86" t="str">
        <f t="shared" si="80"/>
        <v>103424.002973916-12766.985592245j</v>
      </c>
      <c r="AK144" s="86" t="str">
        <f t="shared" si="81"/>
        <v>20000-0.0000100055244988183j</v>
      </c>
      <c r="AL144" s="86" t="str">
        <f t="shared" si="95"/>
        <v>10000-888398.093467134j</v>
      </c>
      <c r="AM144" s="86" t="str">
        <f t="shared" si="96"/>
        <v>963.08108220555-275717.229453788j</v>
      </c>
      <c r="AN144" s="86" t="str">
        <f t="shared" si="97"/>
        <v>10963.0810822056-275717.229453788j</v>
      </c>
      <c r="AO144" s="86" t="str">
        <f t="shared" si="98"/>
        <v>19839.1083240115-1432.69356622301j</v>
      </c>
      <c r="AP144" s="86" t="str">
        <f t="shared" si="99"/>
        <v>0.160327554767648+0.0165842909323696j</v>
      </c>
      <c r="AQ144" s="86" t="str">
        <f t="shared" si="82"/>
        <v>1+0.765422624159598j</v>
      </c>
      <c r="AR144" s="86">
        <f t="shared" si="83"/>
        <v>9.9808538629550524E-8</v>
      </c>
      <c r="AS144" s="86" t="str">
        <f t="shared" si="84"/>
        <v>0.0000300933658969833j</v>
      </c>
      <c r="AT144" s="86" t="str">
        <f t="shared" si="85"/>
        <v>9.98085386295505E-08+0.0000300933658969833j</v>
      </c>
      <c r="AU144" s="86" t="str">
        <f t="shared" si="86"/>
        <v>3.83172889341208-4.97177887149282j</v>
      </c>
      <c r="AW144" s="86" t="str">
        <f t="shared" si="100"/>
        <v>0.68382920450524-0.745467696033381j</v>
      </c>
      <c r="AX144" s="86">
        <f t="shared" si="87"/>
        <v>0.10021845670574391</v>
      </c>
      <c r="AY144" s="86">
        <f t="shared" si="88"/>
        <v>132.5306470459459</v>
      </c>
      <c r="AZ144" s="86" t="str">
        <f t="shared" si="89"/>
        <v>3.73273153948349-4.76157973418022j</v>
      </c>
      <c r="BA144" s="86">
        <f t="shared" si="90"/>
        <v>15.635514011247999</v>
      </c>
      <c r="BB144" s="86">
        <f t="shared" si="91"/>
        <v>128.09386024117228</v>
      </c>
      <c r="BD144" s="86" t="str">
        <f t="shared" si="92"/>
        <v>1.67406718641795-3.80181429995381j</v>
      </c>
      <c r="BE144" s="86">
        <f t="shared" si="93"/>
        <v>12.369475040643392</v>
      </c>
      <c r="BF144" s="86">
        <f t="shared" si="94"/>
        <v>113.76551384598679</v>
      </c>
      <c r="BH144" s="86">
        <f t="shared" si="101"/>
        <v>-11.369475040643392</v>
      </c>
      <c r="BI144" s="162">
        <f t="shared" si="102"/>
        <v>-113.76551384598679</v>
      </c>
      <c r="BJ144" s="88"/>
      <c r="BK144" s="88"/>
      <c r="BL144" s="88"/>
      <c r="BM144" s="88"/>
      <c r="BN144" s="42"/>
      <c r="BO144" s="42"/>
      <c r="BP144" s="42"/>
    </row>
    <row r="145" spans="1:68" s="86" customFormat="1">
      <c r="A145" s="86">
        <v>81</v>
      </c>
      <c r="B145" s="86">
        <f t="shared" si="52"/>
        <v>4168.6938347033556</v>
      </c>
      <c r="C145" s="86" t="str">
        <f t="shared" si="53"/>
        <v>26192.6758523383j</v>
      </c>
      <c r="D145" s="86">
        <f t="shared" si="54"/>
        <v>0.99978605099061257</v>
      </c>
      <c r="E145" s="86" t="str">
        <f t="shared" si="55"/>
        <v>-0.0229760314494196j</v>
      </c>
      <c r="F145" s="86" t="str">
        <f t="shared" si="56"/>
        <v>0.999786050990613-0.0229760314494196j</v>
      </c>
      <c r="G145" s="86">
        <f t="shared" si="57"/>
        <v>4.3447155385830543E-4</v>
      </c>
      <c r="H145" s="86">
        <f t="shared" si="58"/>
        <v>-1.3164796189096537</v>
      </c>
      <c r="J145" s="86">
        <f t="shared" si="59"/>
        <v>8.3707025411061284</v>
      </c>
      <c r="K145" s="86" t="str">
        <f t="shared" si="60"/>
        <v>1+1.12450770150342j</v>
      </c>
      <c r="L145" s="86">
        <f t="shared" si="61"/>
        <v>0.91987139669885554</v>
      </c>
      <c r="M145" s="86" t="str">
        <f t="shared" si="62"/>
        <v>0.0771431074225034j</v>
      </c>
      <c r="N145" s="86" t="str">
        <f t="shared" si="63"/>
        <v>0.919871396698856+0.0771431074225034j</v>
      </c>
      <c r="O145" s="86" t="str">
        <f t="shared" si="64"/>
        <v>1.18131950519565+1.12339295223473j</v>
      </c>
      <c r="P145" s="86" t="str">
        <f t="shared" si="65"/>
        <v>9.88847418399946+9.40358823993197j</v>
      </c>
      <c r="R145" s="86">
        <f t="shared" si="66"/>
        <v>11.958146487294469</v>
      </c>
      <c r="S145" s="86" t="str">
        <f t="shared" si="67"/>
        <v>1+0.00196445068892537j</v>
      </c>
      <c r="T145" s="86" t="str">
        <f t="shared" si="68"/>
        <v>0.919871396698856+0.0771431074225034j</v>
      </c>
      <c r="U145" s="86" t="str">
        <f t="shared" si="69"/>
        <v>1.07969410142205-0.088410736166355j</v>
      </c>
      <c r="V145" s="86" t="str">
        <f t="shared" si="70"/>
        <v>12.9111402262726-1.05722853412682j</v>
      </c>
      <c r="X145" s="86" t="str">
        <f t="shared" si="71"/>
        <v>0.418144028524496+0.379732104058687j</v>
      </c>
      <c r="Y145" s="86">
        <f t="shared" si="72"/>
        <v>-4.961536389990421</v>
      </c>
      <c r="Z145" s="86">
        <f t="shared" si="73"/>
        <v>-137.75624638164692</v>
      </c>
      <c r="AB145" s="86" t="str">
        <f t="shared" si="74"/>
        <v>6.00447796615572-0.491676593012132j</v>
      </c>
      <c r="AC145" s="86">
        <f t="shared" si="75"/>
        <v>15.59852801705485</v>
      </c>
      <c r="AD145" s="86">
        <f t="shared" si="76"/>
        <v>175.318780027694</v>
      </c>
      <c r="AF145" s="86" t="str">
        <f t="shared" si="77"/>
        <v>3.86414758630772-1.38139529339083j</v>
      </c>
      <c r="AG145" s="86">
        <f t="shared" si="78"/>
        <v>12.263392380733977</v>
      </c>
      <c r="AH145" s="86">
        <f t="shared" si="79"/>
        <v>160.32852262230881</v>
      </c>
      <c r="AJ145" s="86" t="str">
        <f t="shared" si="80"/>
        <v>103274.452370339-13349.3440472606j</v>
      </c>
      <c r="AK145" s="86" t="str">
        <f t="shared" si="81"/>
        <v>20000-0.0000104770703409353j</v>
      </c>
      <c r="AL145" s="86" t="str">
        <f t="shared" si="95"/>
        <v>10000-848413.592696694j</v>
      </c>
      <c r="AM145" s="86" t="str">
        <f t="shared" si="96"/>
        <v>963.075483184612-263308.598758131j</v>
      </c>
      <c r="AN145" s="86" t="str">
        <f t="shared" si="97"/>
        <v>10963.0754831846-263308.598758131j</v>
      </c>
      <c r="AO145" s="86" t="str">
        <f t="shared" si="98"/>
        <v>19823.7984442013-1498.41008812998j</v>
      </c>
      <c r="AP145" s="86" t="str">
        <f t="shared" si="99"/>
        <v>0.160359143149337+0.0173652311818544j</v>
      </c>
      <c r="AQ145" s="86" t="str">
        <f t="shared" si="82"/>
        <v>1+0.801495881081552j</v>
      </c>
      <c r="AR145" s="86">
        <f t="shared" si="83"/>
        <v>9.9790066781898466E-8</v>
      </c>
      <c r="AS145" s="86" t="str">
        <f t="shared" si="84"/>
        <v>0.0000315116225376726j</v>
      </c>
      <c r="AT145" s="86" t="str">
        <f t="shared" si="85"/>
        <v>9.97900667818985E-08+0.0000315116225376726j</v>
      </c>
      <c r="AU145" s="86" t="str">
        <f t="shared" si="86"/>
        <v>3.83027523042279-4.74801881115747j</v>
      </c>
      <c r="AW145" s="86" t="str">
        <f t="shared" si="100"/>
        <v>0.683798343484162-0.707335924345003j</v>
      </c>
      <c r="AX145" s="86">
        <f t="shared" si="87"/>
        <v>-0.14167587736252951</v>
      </c>
      <c r="AY145" s="86">
        <f t="shared" si="88"/>
        <v>134.03066482841601</v>
      </c>
      <c r="AZ145" s="86" t="str">
        <f t="shared" si="89"/>
        <v>3.75807156934739-4.58339061223159j</v>
      </c>
      <c r="BA145" s="86">
        <f t="shared" si="90"/>
        <v>15.456852139692314</v>
      </c>
      <c r="BB145" s="86">
        <f t="shared" si="91"/>
        <v>129.34944485610998</v>
      </c>
      <c r="BD145" s="86" t="str">
        <f t="shared" si="92"/>
        <v>1.6651872017591-3.67784621808395j</v>
      </c>
      <c r="BE145" s="86">
        <f t="shared" si="93"/>
        <v>12.121716503371442</v>
      </c>
      <c r="BF145" s="86">
        <f t="shared" si="94"/>
        <v>114.35918745072478</v>
      </c>
      <c r="BH145" s="86">
        <f t="shared" si="101"/>
        <v>-11.121716503371442</v>
      </c>
      <c r="BI145" s="162">
        <f t="shared" si="102"/>
        <v>-114.35918745072478</v>
      </c>
      <c r="BJ145" s="88"/>
      <c r="BK145" s="88"/>
      <c r="BL145" s="88"/>
      <c r="BM145" s="88"/>
      <c r="BN145" s="42"/>
      <c r="BO145" s="42"/>
      <c r="BP145" s="42"/>
    </row>
    <row r="146" spans="1:68" s="86" customFormat="1">
      <c r="A146" s="86">
        <v>82</v>
      </c>
      <c r="B146" s="86">
        <f t="shared" si="52"/>
        <v>4365.1583224016631</v>
      </c>
      <c r="C146" s="86" t="str">
        <f t="shared" si="53"/>
        <v>27427.0986348268j</v>
      </c>
      <c r="D146" s="86">
        <f t="shared" si="54"/>
        <v>0.99976540957612026</v>
      </c>
      <c r="E146" s="86" t="str">
        <f t="shared" si="55"/>
        <v>-0.0240588584516025j</v>
      </c>
      <c r="F146" s="86" t="str">
        <f t="shared" si="56"/>
        <v>0.99976540957612-0.0240588584516025j</v>
      </c>
      <c r="G146" s="86">
        <f t="shared" si="57"/>
        <v>4.7640731418309922E-4</v>
      </c>
      <c r="H146" s="86">
        <f t="shared" si="58"/>
        <v>-1.3785284401502194</v>
      </c>
      <c r="J146" s="86">
        <f t="shared" si="59"/>
        <v>8.3707025411061284</v>
      </c>
      <c r="K146" s="86" t="str">
        <f t="shared" si="60"/>
        <v>1+1.17750411674733j</v>
      </c>
      <c r="L146" s="86">
        <f t="shared" si="61"/>
        <v>0.91214073359288861</v>
      </c>
      <c r="M146" s="86" t="str">
        <f t="shared" si="62"/>
        <v>0.0807787500674604j</v>
      </c>
      <c r="N146" s="86" t="str">
        <f t="shared" si="63"/>
        <v>0.912140733592889+0.0807787500674604j</v>
      </c>
      <c r="O146" s="86" t="str">
        <f t="shared" si="64"/>
        <v>1.20122469097617+1.1845438405148j</v>
      </c>
      <c r="P146" s="86" t="str">
        <f t="shared" si="65"/>
        <v>10.0550945731936+9.91546413584885j</v>
      </c>
      <c r="R146" s="86">
        <f t="shared" si="66"/>
        <v>11.958146487294469</v>
      </c>
      <c r="S146" s="86" t="str">
        <f t="shared" si="67"/>
        <v>1+0.00205703239761201j</v>
      </c>
      <c r="T146" s="86" t="str">
        <f t="shared" si="68"/>
        <v>0.912140733592889+0.0807787500674604j</v>
      </c>
      <c r="U146" s="86" t="str">
        <f t="shared" si="69"/>
        <v>1.0879889000628-0.0940966101784024j</v>
      </c>
      <c r="V146" s="86" t="str">
        <f t="shared" si="70"/>
        <v>13.0103306435013-1.12522104847118j</v>
      </c>
      <c r="X146" s="86" t="str">
        <f t="shared" si="71"/>
        <v>0.42596165071918+0.400296787658094j</v>
      </c>
      <c r="Y146" s="86">
        <f t="shared" si="72"/>
        <v>-4.6637936615106854</v>
      </c>
      <c r="Z146" s="86">
        <f t="shared" si="73"/>
        <v>-136.77912336124032</v>
      </c>
      <c r="AB146" s="86" t="str">
        <f t="shared" si="74"/>
        <v>6.05060763900146-0.523297313342741j</v>
      </c>
      <c r="AC146" s="86">
        <f t="shared" si="75"/>
        <v>15.66834397110696</v>
      </c>
      <c r="AD146" s="86">
        <f t="shared" si="76"/>
        <v>175.05697501787077</v>
      </c>
      <c r="AF146" s="86" t="str">
        <f t="shared" si="77"/>
        <v>3.83772989885989-1.44430831131893j</v>
      </c>
      <c r="AG146" s="86">
        <f t="shared" si="78"/>
        <v>12.256761385273144</v>
      </c>
      <c r="AH146" s="86">
        <f t="shared" si="79"/>
        <v>159.37645082966276</v>
      </c>
      <c r="AJ146" s="86" t="str">
        <f t="shared" si="80"/>
        <v>103110.969709203-13956.3514248591j</v>
      </c>
      <c r="AK146" s="86" t="str">
        <f t="shared" si="81"/>
        <v>20000-0.0000109708394539307j</v>
      </c>
      <c r="AL146" s="86" t="str">
        <f t="shared" si="95"/>
        <v>10000-810228.69090515j</v>
      </c>
      <c r="AM146" s="86" t="str">
        <f t="shared" si="96"/>
        <v>963.069344055074-251458.480894048j</v>
      </c>
      <c r="AN146" s="86" t="str">
        <f t="shared" si="97"/>
        <v>10963.0693440551-251458.480894048j</v>
      </c>
      <c r="AO146" s="86" t="str">
        <f t="shared" si="98"/>
        <v>19807.0538627393-1566.96165789641j</v>
      </c>
      <c r="AP146" s="86" t="str">
        <f t="shared" si="99"/>
        <v>0.160393776389507+0.0181828792814203j</v>
      </c>
      <c r="AQ146" s="86" t="str">
        <f t="shared" si="82"/>
        <v>1+0.8392692182257j</v>
      </c>
      <c r="AR146" s="86">
        <f t="shared" si="83"/>
        <v>9.9769812803705497E-8</v>
      </c>
      <c r="AS146" s="86" t="str">
        <f t="shared" si="84"/>
        <v>0.0000329967195546011j</v>
      </c>
      <c r="AT146" s="86" t="str">
        <f t="shared" si="85"/>
        <v>9.97698128037055E-08+0.0000329967195546011j</v>
      </c>
      <c r="AU146" s="86" t="str">
        <f t="shared" si="86"/>
        <v>3.82894947155418-4.53432912263926j</v>
      </c>
      <c r="AW146" s="86" t="str">
        <f t="shared" si="100"/>
        <v>0.683807365025141-0.670705543169118j</v>
      </c>
      <c r="AX146" s="86">
        <f t="shared" si="87"/>
        <v>-0.37423068100708734</v>
      </c>
      <c r="AY146" s="86">
        <f t="shared" si="88"/>
        <v>135.55418865446481</v>
      </c>
      <c r="AZ146" s="86" t="str">
        <f t="shared" si="89"/>
        <v>3.7864716576421-4.41601063998133j</v>
      </c>
      <c r="BA146" s="86">
        <f t="shared" si="90"/>
        <v>15.294113290099885</v>
      </c>
      <c r="BB146" s="86">
        <f t="shared" si="91"/>
        <v>130.61116367233558</v>
      </c>
      <c r="BD146" s="86" t="str">
        <f t="shared" si="92"/>
        <v>1.65556237937075-3.5616153769981j</v>
      </c>
      <c r="BE146" s="86">
        <f t="shared" si="93"/>
        <v>11.882530704266067</v>
      </c>
      <c r="BF146" s="86">
        <f t="shared" si="94"/>
        <v>114.93063948412757</v>
      </c>
      <c r="BH146" s="86">
        <f t="shared" si="101"/>
        <v>-10.882530704266067</v>
      </c>
      <c r="BI146" s="162">
        <f t="shared" si="102"/>
        <v>-114.93063948412757</v>
      </c>
      <c r="BJ146" s="88"/>
      <c r="BK146" s="88"/>
      <c r="BL146" s="88"/>
      <c r="BM146" s="88"/>
      <c r="BN146" s="42"/>
      <c r="BO146" s="42"/>
      <c r="BP146" s="42"/>
    </row>
    <row r="147" spans="1:68" s="86" customFormat="1">
      <c r="A147" s="86">
        <v>83</v>
      </c>
      <c r="B147" s="86">
        <f t="shared" si="52"/>
        <v>4570.8818961487532</v>
      </c>
      <c r="C147" s="86" t="str">
        <f t="shared" si="53"/>
        <v>28719.697970735j</v>
      </c>
      <c r="D147" s="86">
        <f t="shared" si="54"/>
        <v>0.99974277671519185</v>
      </c>
      <c r="E147" s="86" t="str">
        <f t="shared" si="55"/>
        <v>-0.0251927175181886j</v>
      </c>
      <c r="F147" s="86" t="str">
        <f t="shared" si="56"/>
        <v>0.999742776715192-0.0251927175181886j</v>
      </c>
      <c r="G147" s="86">
        <f t="shared" si="57"/>
        <v>5.2239274867072198E-4</v>
      </c>
      <c r="H147" s="86">
        <f t="shared" si="58"/>
        <v>-1.4435022798094059</v>
      </c>
      <c r="J147" s="86">
        <f t="shared" si="59"/>
        <v>8.3707025411061284</v>
      </c>
      <c r="K147" s="86" t="str">
        <f t="shared" si="60"/>
        <v>1+1.23299817609359j</v>
      </c>
      <c r="L147" s="86">
        <f t="shared" si="61"/>
        <v>0.90366423005546692</v>
      </c>
      <c r="M147" s="86" t="str">
        <f t="shared" si="62"/>
        <v>0.0845857352715063j</v>
      </c>
      <c r="N147" s="86" t="str">
        <f t="shared" si="63"/>
        <v>0.903664230055467+0.0845857352715063j</v>
      </c>
      <c r="O147" s="86" t="str">
        <f t="shared" si="64"/>
        <v>1.22360111347072+1.24991002040914j</v>
      </c>
      <c r="P147" s="86" t="str">
        <f t="shared" si="65"/>
        <v>10.2424009498296+10.4626249839928j</v>
      </c>
      <c r="R147" s="86">
        <f t="shared" si="66"/>
        <v>11.958146487294469</v>
      </c>
      <c r="S147" s="86" t="str">
        <f t="shared" si="67"/>
        <v>1+0.00215397734780513j</v>
      </c>
      <c r="T147" s="86" t="str">
        <f t="shared" si="68"/>
        <v>0.903664230055467+0.0845857352715063j</v>
      </c>
      <c r="U147" s="86" t="str">
        <f t="shared" si="69"/>
        <v>1.09721553648671-0.100319125779361j</v>
      </c>
      <c r="V147" s="86" t="str">
        <f t="shared" si="70"/>
        <v>13.1206641134435-1.19963080154692j</v>
      </c>
      <c r="X147" s="86" t="str">
        <f t="shared" si="71"/>
        <v>0.434738830121783+0.422261726967876j</v>
      </c>
      <c r="Y147" s="86">
        <f t="shared" si="72"/>
        <v>-4.3497574147237978</v>
      </c>
      <c r="Z147" s="86">
        <f t="shared" si="73"/>
        <v>-135.83411246517556</v>
      </c>
      <c r="AB147" s="86" t="str">
        <f t="shared" si="74"/>
        <v>6.10191951987232-0.557902446195469j</v>
      </c>
      <c r="AC147" s="86">
        <f t="shared" si="75"/>
        <v>15.745483720203246</v>
      </c>
      <c r="AD147" s="86">
        <f t="shared" si="76"/>
        <v>174.77593450022769</v>
      </c>
      <c r="AF147" s="86" t="str">
        <f t="shared" si="77"/>
        <v>3.80863482656862-1.50978221260553j</v>
      </c>
      <c r="AG147" s="86">
        <f t="shared" si="78"/>
        <v>12.249250085883636</v>
      </c>
      <c r="AH147" s="86">
        <f t="shared" si="79"/>
        <v>158.3761136331519</v>
      </c>
      <c r="AJ147" s="86" t="str">
        <f t="shared" si="80"/>
        <v>102932.30840076-14588.7720309363j</v>
      </c>
      <c r="AK147" s="86" t="str">
        <f t="shared" si="81"/>
        <v>20000-0.000011487879188294j</v>
      </c>
      <c r="AL147" s="86" t="str">
        <f t="shared" si="95"/>
        <v>10000-773762.392796272j</v>
      </c>
      <c r="AM147" s="86" t="str">
        <f t="shared" si="96"/>
        <v>963.062612723344-240141.740171474j</v>
      </c>
      <c r="AN147" s="86" t="str">
        <f t="shared" si="97"/>
        <v>10963.0626127233-240141.740171474j</v>
      </c>
      <c r="AO147" s="86" t="str">
        <f t="shared" si="98"/>
        <v>19788.7445296997-1638.44438748864j</v>
      </c>
      <c r="AP147" s="86" t="str">
        <f t="shared" si="99"/>
        <v>0.160431747698517+0.0190389509031543j</v>
      </c>
      <c r="AQ147" s="86" t="str">
        <f t="shared" si="82"/>
        <v>1+0.878822757904491j</v>
      </c>
      <c r="AR147" s="86">
        <f t="shared" si="83"/>
        <v>9.9747604758231741E-8</v>
      </c>
      <c r="AS147" s="86" t="str">
        <f t="shared" si="84"/>
        <v>0.0000345518070376522j</v>
      </c>
      <c r="AT147" s="86" t="str">
        <f t="shared" si="85"/>
        <v>9.97476047582317E-08+0.0000345518070376522j</v>
      </c>
      <c r="AU147" s="86" t="str">
        <f t="shared" si="86"/>
        <v>3.8277403630441-4.33025664631973j</v>
      </c>
      <c r="AW147" s="86" t="str">
        <f t="shared" si="100"/>
        <v>0.683856336575133-0.635499043855236j</v>
      </c>
      <c r="AX147" s="86">
        <f t="shared" si="87"/>
        <v>-0.59723377681823497</v>
      </c>
      <c r="AY147" s="86">
        <f t="shared" si="88"/>
        <v>137.09907742099278</v>
      </c>
      <c r="AZ147" s="86" t="str">
        <f t="shared" si="89"/>
        <v>3.81828985781446-4.259289143582j</v>
      </c>
      <c r="BA147" s="86">
        <f t="shared" si="90"/>
        <v>15.148249943385013</v>
      </c>
      <c r="BB147" s="86">
        <f t="shared" si="91"/>
        <v>131.87501192122045</v>
      </c>
      <c r="BD147" s="86" t="str">
        <f t="shared" si="92"/>
        <v>1.64509390730922-3.45285792361683j</v>
      </c>
      <c r="BE147" s="86">
        <f t="shared" si="93"/>
        <v>11.652016309065402</v>
      </c>
      <c r="BF147" s="86">
        <f t="shared" si="94"/>
        <v>115.47519105414455</v>
      </c>
      <c r="BH147" s="86">
        <f t="shared" si="101"/>
        <v>-10.652016309065402</v>
      </c>
      <c r="BI147" s="162">
        <f t="shared" si="102"/>
        <v>-115.47519105414455</v>
      </c>
      <c r="BJ147" s="88"/>
      <c r="BK147" s="88"/>
      <c r="BL147" s="88"/>
      <c r="BM147" s="88"/>
      <c r="BN147" s="42"/>
      <c r="BO147" s="42"/>
      <c r="BP147" s="42"/>
    </row>
    <row r="148" spans="1:68" s="86" customFormat="1">
      <c r="A148" s="86">
        <v>84</v>
      </c>
      <c r="B148" s="86">
        <f t="shared" si="52"/>
        <v>4786.3009232263857</v>
      </c>
      <c r="C148" s="86" t="str">
        <f t="shared" si="53"/>
        <v>30073.2156365561j</v>
      </c>
      <c r="D148" s="86">
        <f t="shared" si="54"/>
        <v>0.99971796027666759</v>
      </c>
      <c r="E148" s="86" t="str">
        <f t="shared" si="55"/>
        <v>-0.0263800137162773j</v>
      </c>
      <c r="F148" s="86" t="str">
        <f t="shared" si="56"/>
        <v>0.999717960276668-0.0263800137162773j</v>
      </c>
      <c r="G148" s="86">
        <f t="shared" si="57"/>
        <v>5.7281932852266298E-4</v>
      </c>
      <c r="H148" s="86">
        <f t="shared" si="58"/>
        <v>-1.5115391004213807</v>
      </c>
      <c r="J148" s="86">
        <f t="shared" si="59"/>
        <v>8.3707025411061284</v>
      </c>
      <c r="K148" s="86" t="str">
        <f t="shared" si="60"/>
        <v>1+1.29110758988229j</v>
      </c>
      <c r="L148" s="86">
        <f t="shared" si="61"/>
        <v>0.8943699287471536</v>
      </c>
      <c r="M148" s="86" t="str">
        <f t="shared" si="62"/>
        <v>0.0885721381606701j</v>
      </c>
      <c r="N148" s="86" t="str">
        <f t="shared" si="63"/>
        <v>0.894369928747154+0.0885721381606701j</v>
      </c>
      <c r="O148" s="86" t="str">
        <f t="shared" si="64"/>
        <v>1.24882121753693+1.31992007615718j</v>
      </c>
      <c r="P148" s="86" t="str">
        <f t="shared" si="65"/>
        <v>10.4535109390236+11.0486583355459j</v>
      </c>
      <c r="R148" s="86">
        <f t="shared" si="66"/>
        <v>11.958146487294469</v>
      </c>
      <c r="S148" s="86" t="str">
        <f t="shared" si="67"/>
        <v>1+0.00225549117274171j</v>
      </c>
      <c r="T148" s="86" t="str">
        <f t="shared" si="68"/>
        <v>0.894369928747154+0.0885721381606701j</v>
      </c>
      <c r="U148" s="86" t="str">
        <f t="shared" si="69"/>
        <v>1.10749353823668-0.107156531573302j</v>
      </c>
      <c r="V148" s="86" t="str">
        <f t="shared" si="70"/>
        <v>13.2435699639663-1.28139350162394j</v>
      </c>
      <c r="X148" s="86" t="str">
        <f t="shared" si="71"/>
        <v>0.444617834607769+0.445766504607085j</v>
      </c>
      <c r="Y148" s="86">
        <f t="shared" si="72"/>
        <v>-4.0187424750491356</v>
      </c>
      <c r="Z148" s="86">
        <f t="shared" si="73"/>
        <v>-134.92608371059123</v>
      </c>
      <c r="AB148" s="86" t="str">
        <f t="shared" si="74"/>
        <v>6.15907833454262-0.5959271537319j</v>
      </c>
      <c r="AC148" s="86">
        <f t="shared" si="75"/>
        <v>15.8307827856293</v>
      </c>
      <c r="AD148" s="86">
        <f t="shared" si="76"/>
        <v>174.47349839447989</v>
      </c>
      <c r="AF148" s="86" t="str">
        <f t="shared" si="77"/>
        <v>3.77658494188093-1.57785828751366j</v>
      </c>
      <c r="AG148" s="86">
        <f t="shared" si="78"/>
        <v>12.240726425499764</v>
      </c>
      <c r="AH148" s="86">
        <f t="shared" si="79"/>
        <v>157.32481371468324</v>
      </c>
      <c r="AJ148" s="86" t="str">
        <f t="shared" si="80"/>
        <v>102737.120439439-15247.3515717749j</v>
      </c>
      <c r="AK148" s="86" t="str">
        <f t="shared" si="81"/>
        <v>20000-0.0000120292862546224j</v>
      </c>
      <c r="AL148" s="86" t="str">
        <f t="shared" si="95"/>
        <v>10000-738937.348462651j</v>
      </c>
      <c r="AM148" s="86" t="str">
        <f t="shared" si="96"/>
        <v>963.055232073015-229334.37226458j</v>
      </c>
      <c r="AN148" s="86" t="str">
        <f t="shared" si="97"/>
        <v>10963.055232073-229334.37226458j</v>
      </c>
      <c r="AO148" s="86" t="str">
        <f t="shared" si="98"/>
        <v>19768.7294778023-1712.95369685165j</v>
      </c>
      <c r="AP148" s="86" t="str">
        <f t="shared" si="99"/>
        <v>0.160473378463587+0.0199352404593294j</v>
      </c>
      <c r="AQ148" s="86" t="str">
        <f t="shared" si="82"/>
        <v>1+0.920240398478617j</v>
      </c>
      <c r="AR148" s="86">
        <f t="shared" si="83"/>
        <v>9.9723254120590817E-8</v>
      </c>
      <c r="AS148" s="86" t="str">
        <f t="shared" si="84"/>
        <v>0.0000361801835358715j</v>
      </c>
      <c r="AT148" s="86" t="str">
        <f t="shared" si="85"/>
        <v>9.97232541205908E-08+0.0000361801835358715j</v>
      </c>
      <c r="AU148" s="86" t="str">
        <f t="shared" si="86"/>
        <v>3.82663764126978-4.1353686084464j</v>
      </c>
      <c r="AW148" s="86" t="str">
        <f t="shared" si="100"/>
        <v>0.683945662833892-0.601641961329604j</v>
      </c>
      <c r="AX148" s="86">
        <f t="shared" si="87"/>
        <v>-0.81050268803921299</v>
      </c>
      <c r="AY148" s="86">
        <f t="shared" si="88"/>
        <v>138.66309376188843</v>
      </c>
      <c r="AZ148" s="86" t="str">
        <f t="shared" si="89"/>
        <v>3.85394013238379-4.11314176133677j</v>
      </c>
      <c r="BA148" s="86">
        <f t="shared" si="90"/>
        <v>15.020280097590087</v>
      </c>
      <c r="BB148" s="86">
        <f t="shared" si="91"/>
        <v>133.13659215636835</v>
      </c>
      <c r="BD148" s="86" t="str">
        <f t="shared" si="92"/>
        <v>1.63367313652336-3.35132130387257j</v>
      </c>
      <c r="BE148" s="86">
        <f t="shared" si="93"/>
        <v>11.430223737460549</v>
      </c>
      <c r="BF148" s="86">
        <f t="shared" si="94"/>
        <v>115.98790747657169</v>
      </c>
      <c r="BH148" s="86">
        <f t="shared" si="101"/>
        <v>-10.430223737460549</v>
      </c>
      <c r="BI148" s="162">
        <f t="shared" si="102"/>
        <v>-115.98790747657169</v>
      </c>
      <c r="BJ148" s="88"/>
      <c r="BK148" s="88"/>
      <c r="BL148" s="88"/>
      <c r="BM148" s="88"/>
      <c r="BN148" s="42"/>
      <c r="BO148" s="42"/>
      <c r="BP148" s="42"/>
    </row>
    <row r="149" spans="1:68" s="86" customFormat="1">
      <c r="A149" s="86">
        <v>85</v>
      </c>
      <c r="B149" s="86">
        <f t="shared" si="52"/>
        <v>5011.8723362727242</v>
      </c>
      <c r="C149" s="86" t="str">
        <f t="shared" si="53"/>
        <v>31490.5226247286j</v>
      </c>
      <c r="D149" s="86">
        <f t="shared" si="54"/>
        <v>0.9996907495929197</v>
      </c>
      <c r="E149" s="86" t="str">
        <f t="shared" si="55"/>
        <v>-0.0276232654602882j</v>
      </c>
      <c r="F149" s="86" t="str">
        <f t="shared" si="56"/>
        <v>0.99969074959292-0.0276232654602882j</v>
      </c>
      <c r="G149" s="86">
        <f t="shared" si="57"/>
        <v>6.281164482613656E-4</v>
      </c>
      <c r="H149" s="86">
        <f t="shared" si="58"/>
        <v>-1.5827833828656837</v>
      </c>
      <c r="J149" s="86">
        <f t="shared" si="59"/>
        <v>8.3707025411061284</v>
      </c>
      <c r="K149" s="86" t="str">
        <f t="shared" si="60"/>
        <v>1+1.35195561597094j</v>
      </c>
      <c r="L149" s="86">
        <f t="shared" si="61"/>
        <v>0.88417893001420289</v>
      </c>
      <c r="M149" s="86" t="str">
        <f t="shared" si="62"/>
        <v>0.0927464144299462j</v>
      </c>
      <c r="N149" s="86" t="str">
        <f t="shared" si="63"/>
        <v>0.884178930014203+0.0927464144299462j</v>
      </c>
      <c r="O149" s="86" t="str">
        <f t="shared" si="64"/>
        <v>1.2773289748741+1.39506596643744j</v>
      </c>
      <c r="P149" s="86" t="str">
        <f t="shared" si="65"/>
        <v>10.6921408958071+11.6776822302686j</v>
      </c>
      <c r="R149" s="86">
        <f t="shared" si="66"/>
        <v>11.958146487294469</v>
      </c>
      <c r="S149" s="86" t="str">
        <f t="shared" si="67"/>
        <v>1+0.00236178919685464j</v>
      </c>
      <c r="T149" s="86" t="str">
        <f t="shared" si="68"/>
        <v>0.884178930014203+0.0927464144299462j</v>
      </c>
      <c r="U149" s="86" t="str">
        <f t="shared" si="69"/>
        <v>1.11896098149889-0.114702834778648j</v>
      </c>
      <c r="V149" s="86" t="str">
        <f t="shared" si="70"/>
        <v>13.3806993303305-1.37163330079101j</v>
      </c>
      <c r="X149" s="86" t="str">
        <f t="shared" si="71"/>
        <v>0.455767759220627+0.470970861790825j</v>
      </c>
      <c r="Y149" s="86">
        <f t="shared" si="72"/>
        <v>-3.6699860852130852</v>
      </c>
      <c r="Z149" s="86">
        <f t="shared" si="73"/>
        <v>-134.06014979431822</v>
      </c>
      <c r="AB149" s="86" t="str">
        <f t="shared" si="74"/>
        <v>6.22285196292993-0.637894236133066j</v>
      </c>
      <c r="AC149" s="86">
        <f t="shared" si="75"/>
        <v>15.925186780846811</v>
      </c>
      <c r="AD149" s="86">
        <f t="shared" si="76"/>
        <v>174.14714802947182</v>
      </c>
      <c r="AF149" s="86" t="str">
        <f t="shared" si="77"/>
        <v>3.74127438884203-1.64856340858021j</v>
      </c>
      <c r="AG149" s="86">
        <f t="shared" si="78"/>
        <v>12.231036622525977</v>
      </c>
      <c r="AH149" s="86">
        <f t="shared" si="79"/>
        <v>156.21968520465123</v>
      </c>
      <c r="AJ149" s="86" t="str">
        <f t="shared" si="80"/>
        <v>102523.950164018-15932.8092308887j</v>
      </c>
      <c r="AK149" s="86" t="str">
        <f t="shared" si="81"/>
        <v>20000-0.0000125962090498914j</v>
      </c>
      <c r="AL149" s="86" t="str">
        <f t="shared" si="95"/>
        <v>10000-705679.689316166j</v>
      </c>
      <c r="AM149" s="86" t="str">
        <f t="shared" si="96"/>
        <v>963.047139480896-219013.453295349j</v>
      </c>
      <c r="AN149" s="86" t="str">
        <f t="shared" si="97"/>
        <v>10963.0471394809-219013.453295349j</v>
      </c>
      <c r="AO149" s="86" t="str">
        <f t="shared" si="98"/>
        <v>19746.8560793911-1790.58359059089j</v>
      </c>
      <c r="AP149" s="86" t="str">
        <f t="shared" si="99"/>
        <v>0.160519020944738+0.0208736245007087j</v>
      </c>
      <c r="AQ149" s="86" t="str">
        <f t="shared" si="82"/>
        <v>1+0.963609992316695j</v>
      </c>
      <c r="AR149" s="86">
        <f t="shared" si="83"/>
        <v>9.9696554177355364E-8</v>
      </c>
      <c r="AS149" s="86" t="str">
        <f t="shared" si="84"/>
        <v>0.0000378853030541322j</v>
      </c>
      <c r="AT149" s="86" t="str">
        <f t="shared" si="85"/>
        <v>9.96965541773554E-08+0.0000378853030541322j</v>
      </c>
      <c r="AU149" s="86" t="str">
        <f t="shared" si="86"/>
        <v>3.82563194563794-3.94925170490751j</v>
      </c>
      <c r="AW149" s="86" t="str">
        <f t="shared" si="100"/>
        <v>0.684076088815702-0.569062720185047j</v>
      </c>
      <c r="AX149" s="86">
        <f t="shared" si="87"/>
        <v>-1.0138863010472985</v>
      </c>
      <c r="AY149" s="86">
        <f t="shared" si="88"/>
        <v>140.24392850463454</v>
      </c>
      <c r="AZ149" s="86" t="str">
        <f t="shared" si="89"/>
        <v>3.89390240287598-3.97756125946575j</v>
      </c>
      <c r="BA149" s="86">
        <f t="shared" si="90"/>
        <v>14.911300479799515</v>
      </c>
      <c r="BB149" s="86">
        <f t="shared" si="91"/>
        <v>134.39107653410639</v>
      </c>
      <c r="BD149" s="86" t="str">
        <f t="shared" si="92"/>
        <v>1.62118037342123-3.25676258937932j</v>
      </c>
      <c r="BE149" s="86">
        <f t="shared" si="93"/>
        <v>11.21715032147867</v>
      </c>
      <c r="BF149" s="86">
        <f t="shared" si="94"/>
        <v>116.46361370928588</v>
      </c>
      <c r="BH149" s="86">
        <f t="shared" si="101"/>
        <v>-10.21715032147867</v>
      </c>
      <c r="BI149" s="162">
        <f t="shared" si="102"/>
        <v>-116.46361370928588</v>
      </c>
      <c r="BJ149" s="88"/>
      <c r="BK149" s="88"/>
      <c r="BL149" s="88"/>
      <c r="BM149" s="88"/>
      <c r="BN149" s="42"/>
      <c r="BO149" s="42"/>
      <c r="BP149" s="42"/>
    </row>
    <row r="150" spans="1:68" s="86" customFormat="1">
      <c r="A150" s="86">
        <v>86</v>
      </c>
      <c r="B150" s="86">
        <f t="shared" si="52"/>
        <v>5248.0746024977288</v>
      </c>
      <c r="C150" s="86" t="str">
        <f t="shared" si="53"/>
        <v>32974.6252333961j</v>
      </c>
      <c r="D150" s="86">
        <f t="shared" si="54"/>
        <v>0.99966091367148802</v>
      </c>
      <c r="E150" s="86" t="str">
        <f t="shared" si="55"/>
        <v>-0.0289251098538562j</v>
      </c>
      <c r="F150" s="86" t="str">
        <f t="shared" si="56"/>
        <v>0.999660913671488-0.0289251098538562j</v>
      </c>
      <c r="G150" s="86">
        <f t="shared" si="57"/>
        <v>6.8875511581209081E-4</v>
      </c>
      <c r="H150" s="86">
        <f t="shared" si="58"/>
        <v>-1.6573864359867669</v>
      </c>
      <c r="J150" s="86">
        <f t="shared" si="59"/>
        <v>8.3707025411061284</v>
      </c>
      <c r="K150" s="86" t="str">
        <f t="shared" si="60"/>
        <v>1+1.41567132118091j</v>
      </c>
      <c r="L150" s="86">
        <f t="shared" si="61"/>
        <v>0.87300472210659963</v>
      </c>
      <c r="M150" s="86" t="str">
        <f t="shared" si="62"/>
        <v>0.0971174182789567j</v>
      </c>
      <c r="N150" s="86" t="str">
        <f t="shared" si="63"/>
        <v>0.8730047221066+0.0971174182789567j</v>
      </c>
      <c r="O150" s="86" t="str">
        <f t="shared" si="64"/>
        <v>1.30965735599406+1.47591501776481j</v>
      </c>
      <c r="P150" s="86" t="str">
        <f t="shared" si="65"/>
        <v>10.9627521577978+12.3544455896606j</v>
      </c>
      <c r="R150" s="86">
        <f t="shared" si="66"/>
        <v>11.958146487294469</v>
      </c>
      <c r="S150" s="86" t="str">
        <f t="shared" si="67"/>
        <v>1+0.00247309689250471j</v>
      </c>
      <c r="T150" s="86" t="str">
        <f t="shared" si="68"/>
        <v>0.8730047221066+0.0971174182789567j</v>
      </c>
      <c r="U150" s="86" t="str">
        <f t="shared" si="69"/>
        <v>1.13177805246617-0.123071803516173j</v>
      </c>
      <c r="V150" s="86" t="str">
        <f t="shared" si="70"/>
        <v>13.5339677424953-1.47171065490192j</v>
      </c>
      <c r="X150" s="86" t="str">
        <f t="shared" si="71"/>
        <v>0.468390970383371+0.498058397974643j</v>
      </c>
      <c r="Y150" s="86">
        <f t="shared" si="72"/>
        <v>-3.3026272789032411</v>
      </c>
      <c r="Z150" s="86">
        <f t="shared" si="73"/>
        <v>-133.2417239649283</v>
      </c>
      <c r="AB150" s="86" t="str">
        <f t="shared" si="74"/>
        <v>6.29413124482314-0.684436389431605j</v>
      </c>
      <c r="AC150" s="86">
        <f t="shared" si="75"/>
        <v>16.029769181745369</v>
      </c>
      <c r="AD150" s="86">
        <f t="shared" si="76"/>
        <v>173.79392785810151</v>
      </c>
      <c r="AF150" s="86" t="str">
        <f t="shared" si="77"/>
        <v>3.7023664993911-1.72190592821011j</v>
      </c>
      <c r="AG150" s="86">
        <f t="shared" si="78"/>
        <v>12.220001457655192</v>
      </c>
      <c r="AH150" s="86">
        <f t="shared" si="79"/>
        <v>155.0576851584602</v>
      </c>
      <c r="AJ150" s="86" t="str">
        <f t="shared" si="80"/>
        <v>102291.228051843-16645.8285792381j</v>
      </c>
      <c r="AK150" s="86" t="str">
        <f t="shared" si="81"/>
        <v>20000-0.0000131898500933584j</v>
      </c>
      <c r="AL150" s="86" t="str">
        <f t="shared" si="95"/>
        <v>10000-673918.871402852j</v>
      </c>
      <c r="AM150" s="86" t="str">
        <f t="shared" si="96"/>
        <v>963.038266286388-209157.091208928j</v>
      </c>
      <c r="AN150" s="86" t="str">
        <f t="shared" si="97"/>
        <v>10963.0382662864-209157.091208928j</v>
      </c>
      <c r="AO150" s="86" t="str">
        <f t="shared" si="98"/>
        <v>19722.9592886015-1871.42581838032j</v>
      </c>
      <c r="AP150" s="86" t="str">
        <f t="shared" si="99"/>
        <v>0.160569061226285+0.0218560652289538j</v>
      </c>
      <c r="AQ150" s="86" t="str">
        <f t="shared" si="82"/>
        <v>1+1.00902353214192j</v>
      </c>
      <c r="AR150" s="86">
        <f t="shared" si="83"/>
        <v>9.9667278271759421E-8</v>
      </c>
      <c r="AS150" s="86" t="str">
        <f t="shared" si="84"/>
        <v>0.0000396707823795418j</v>
      </c>
      <c r="AT150" s="86" t="str">
        <f t="shared" si="85"/>
        <v>9.96672782717594E-08+0.0000396707823795418j</v>
      </c>
      <c r="AU150" s="86" t="str">
        <f t="shared" si="86"/>
        <v>3.82471473913782-3.77151122607913j</v>
      </c>
      <c r="AW150" s="86" t="str">
        <f t="shared" si="100"/>
        <v>0.684248705723611-0.537692487417048j</v>
      </c>
      <c r="AX150" s="86">
        <f t="shared" si="87"/>
        <v>-1.2072659384943054</v>
      </c>
      <c r="AY150" s="86">
        <f t="shared" si="88"/>
        <v>141.83922689213094</v>
      </c>
      <c r="AZ150" s="86" t="str">
        <f t="shared" si="89"/>
        <v>3.93873485321255-3.85263179877703j</v>
      </c>
      <c r="BA150" s="86">
        <f t="shared" si="90"/>
        <v>14.822503243251061</v>
      </c>
      <c r="BB150" s="86">
        <f t="shared" si="91"/>
        <v>135.63315475023245</v>
      </c>
      <c r="BD150" s="86" t="str">
        <f t="shared" si="92"/>
        <v>1.60748360368536-3.16894655514273j</v>
      </c>
      <c r="BE150" s="86">
        <f t="shared" si="93"/>
        <v>11.012735519160886</v>
      </c>
      <c r="BF150" s="86">
        <f t="shared" si="94"/>
        <v>116.89691205059111</v>
      </c>
      <c r="BH150" s="86">
        <f t="shared" si="101"/>
        <v>-10.012735519160886</v>
      </c>
      <c r="BI150" s="162">
        <f t="shared" si="102"/>
        <v>-116.89691205059111</v>
      </c>
      <c r="BJ150" s="88"/>
      <c r="BK150" s="88"/>
      <c r="BL150" s="88"/>
      <c r="BM150" s="88"/>
      <c r="BN150" s="42"/>
      <c r="BO150" s="42"/>
      <c r="BP150" s="42"/>
    </row>
    <row r="151" spans="1:68" s="86" customFormat="1">
      <c r="A151" s="86">
        <v>87</v>
      </c>
      <c r="B151" s="86">
        <f t="shared" si="52"/>
        <v>5495.4087385762468</v>
      </c>
      <c r="C151" s="86" t="str">
        <f t="shared" si="53"/>
        <v>34528.6714431686j</v>
      </c>
      <c r="D151" s="86">
        <f t="shared" si="54"/>
        <v>0.99962819923417645</v>
      </c>
      <c r="E151" s="86" t="str">
        <f t="shared" si="55"/>
        <v>-0.0302883082834812j</v>
      </c>
      <c r="F151" s="86" t="str">
        <f t="shared" si="56"/>
        <v>0.999628199234176-0.0302883082834812j</v>
      </c>
      <c r="G151" s="86">
        <f t="shared" si="57"/>
        <v>7.5525200492245793E-4</v>
      </c>
      <c r="H151" s="86">
        <f t="shared" si="58"/>
        <v>-1.7355067211622437</v>
      </c>
      <c r="J151" s="86">
        <f t="shared" si="59"/>
        <v>8.3707025411061284</v>
      </c>
      <c r="K151" s="86" t="str">
        <f t="shared" si="60"/>
        <v>1+1.48238985506546j</v>
      </c>
      <c r="L151" s="86">
        <f t="shared" si="61"/>
        <v>0.86075244677674123</v>
      </c>
      <c r="M151" s="86" t="str">
        <f t="shared" si="62"/>
        <v>0.101694421192896j</v>
      </c>
      <c r="N151" s="86" t="str">
        <f t="shared" si="63"/>
        <v>0.860752446776741+0.101694421192896j</v>
      </c>
      <c r="O151" s="86" t="str">
        <f t="shared" si="64"/>
        <v>1.34645106403284+1.56312456442318j</v>
      </c>
      <c r="P151" s="86" t="str">
        <f t="shared" si="65"/>
        <v>11.2707413431747+13.0844507634825j</v>
      </c>
      <c r="R151" s="86">
        <f t="shared" si="66"/>
        <v>11.958146487294469</v>
      </c>
      <c r="S151" s="86" t="str">
        <f t="shared" si="67"/>
        <v>1+0.00258965035823764j</v>
      </c>
      <c r="T151" s="86" t="str">
        <f t="shared" si="68"/>
        <v>0.860752446776741+0.101694421192896j</v>
      </c>
      <c r="U151" s="86" t="str">
        <f t="shared" si="69"/>
        <v>1.14613143192966-0.132402205360671j</v>
      </c>
      <c r="V151" s="86" t="str">
        <f t="shared" si="70"/>
        <v>13.7056075567074-1.58328496694375j</v>
      </c>
      <c r="X151" s="86" t="str">
        <f t="shared" si="71"/>
        <v>0.482731462839113+0.527241047182172j</v>
      </c>
      <c r="Y151" s="86">
        <f t="shared" si="72"/>
        <v>-2.9156823239925784</v>
      </c>
      <c r="Z151" s="86">
        <f t="shared" si="73"/>
        <v>-132.47660234056121</v>
      </c>
      <c r="AB151" s="86" t="str">
        <f t="shared" si="74"/>
        <v>6.37395436381107-0.736325338548655j</v>
      </c>
      <c r="AC151" s="86">
        <f t="shared" si="75"/>
        <v>16.145752680345606</v>
      </c>
      <c r="AD151" s="86">
        <f t="shared" si="76"/>
        <v>173.41034603104646</v>
      </c>
      <c r="AF151" s="86" t="str">
        <f t="shared" si="77"/>
        <v>3.65949146554787-1.79787069864558j</v>
      </c>
      <c r="AG151" s="86">
        <f t="shared" si="78"/>
        <v>12.207411949046465</v>
      </c>
      <c r="AH151" s="86">
        <f t="shared" si="79"/>
        <v>153.8355859804841</v>
      </c>
      <c r="AJ151" s="86" t="str">
        <f t="shared" si="80"/>
        <v>102037.264655233-17387.0472040952j</v>
      </c>
      <c r="AK151" s="86" t="str">
        <f t="shared" si="81"/>
        <v>20000-0.0000138114685772674j</v>
      </c>
      <c r="AL151" s="86" t="str">
        <f t="shared" si="95"/>
        <v>10000-643587.525769654j</v>
      </c>
      <c r="AM151" s="86" t="str">
        <f t="shared" si="96"/>
        <v>963.028537210028-199744.379337602j</v>
      </c>
      <c r="AN151" s="86" t="str">
        <f t="shared" si="97"/>
        <v>10963.02853721-199744.379337602j</v>
      </c>
      <c r="AO151" s="86" t="str">
        <f t="shared" si="98"/>
        <v>19696.8608770373-1955.56890617939j</v>
      </c>
      <c r="AP151" s="86" t="str">
        <f t="shared" si="99"/>
        <v>0.160623922447616+0.0228846141217641j</v>
      </c>
      <c r="AQ151" s="86" t="str">
        <f t="shared" si="82"/>
        <v>1+1.05657734616096j</v>
      </c>
      <c r="AR151" s="86">
        <f t="shared" si="83"/>
        <v>9.9635177879601125E-8</v>
      </c>
      <c r="AS151" s="86" t="str">
        <f t="shared" si="84"/>
        <v>0.0000415404087531328j</v>
      </c>
      <c r="AT151" s="86" t="str">
        <f t="shared" si="85"/>
        <v>9.96351778796011E-08+0.0000415404087531328j</v>
      </c>
      <c r="AU151" s="86" t="str">
        <f t="shared" si="86"/>
        <v>3.82387823588296-3.60177022091758j</v>
      </c>
      <c r="AW151" s="86" t="str">
        <f t="shared" si="100"/>
        <v>0.684464959670768-0.507465031579214j</v>
      </c>
      <c r="AX151" s="86">
        <f t="shared" si="87"/>
        <v>-1.3905557924197667</v>
      </c>
      <c r="AY151" s="86">
        <f t="shared" si="88"/>
        <v>143.44661587404113</v>
      </c>
      <c r="AZ151" s="86" t="str">
        <f t="shared" si="89"/>
        <v>3.98908905539009-3.73854784567012j</v>
      </c>
      <c r="BA151" s="86">
        <f t="shared" si="90"/>
        <v>14.755196887925838</v>
      </c>
      <c r="BB151" s="86">
        <f t="shared" si="91"/>
        <v>136.85696190508759</v>
      </c>
      <c r="BD151" s="86" t="str">
        <f t="shared" si="92"/>
        <v>1.59243716751822-3.08764344736981j</v>
      </c>
      <c r="BE151" s="86">
        <f t="shared" si="93"/>
        <v>10.816856156626685</v>
      </c>
      <c r="BF151" s="86">
        <f t="shared" si="94"/>
        <v>117.28220185452527</v>
      </c>
      <c r="BH151" s="86">
        <f t="shared" si="101"/>
        <v>-9.8168561566266845</v>
      </c>
      <c r="BI151" s="162">
        <f t="shared" si="102"/>
        <v>-117.28220185452527</v>
      </c>
      <c r="BJ151" s="88"/>
      <c r="BK151" s="88"/>
      <c r="BL151" s="88"/>
      <c r="BM151" s="88"/>
      <c r="BN151" s="42"/>
      <c r="BO151" s="42"/>
      <c r="BP151" s="42"/>
    </row>
    <row r="152" spans="1:68" s="86" customFormat="1">
      <c r="A152" s="86">
        <v>88</v>
      </c>
      <c r="B152" s="86">
        <f t="shared" si="52"/>
        <v>5754.3993733715697</v>
      </c>
      <c r="C152" s="86" t="str">
        <f t="shared" si="53"/>
        <v>36155.9575944117j</v>
      </c>
      <c r="D152" s="86">
        <f t="shared" si="54"/>
        <v>0.99959232856696512</v>
      </c>
      <c r="E152" s="86" t="str">
        <f t="shared" si="55"/>
        <v>-0.0317157522757997j</v>
      </c>
      <c r="F152" s="86" t="str">
        <f t="shared" si="56"/>
        <v>0.999592328566965-0.0317157522757997j</v>
      </c>
      <c r="G152" s="86">
        <f t="shared" si="57"/>
        <v>8.2817390616194667E-4</v>
      </c>
      <c r="H152" s="86">
        <f t="shared" si="58"/>
        <v>-1.8173101925769422</v>
      </c>
      <c r="J152" s="86">
        <f t="shared" si="59"/>
        <v>8.3707025411061284</v>
      </c>
      <c r="K152" s="86" t="str">
        <f t="shared" si="60"/>
        <v>1+1.55225273658008j</v>
      </c>
      <c r="L152" s="86">
        <f t="shared" si="61"/>
        <v>0.84731809402440905</v>
      </c>
      <c r="M152" s="86" t="str">
        <f t="shared" si="62"/>
        <v>0.106487131608594j</v>
      </c>
      <c r="N152" s="86" t="str">
        <f t="shared" si="63"/>
        <v>0.847318094024409+0.106487131608594j</v>
      </c>
      <c r="O152" s="86" t="str">
        <f t="shared" si="64"/>
        <v>1.38849642796596+1.65745986616066j</v>
      </c>
      <c r="P152" s="86" t="str">
        <f t="shared" si="65"/>
        <v>11.6226905778914+13.8741035134525j</v>
      </c>
      <c r="R152" s="86">
        <f t="shared" si="66"/>
        <v>11.958146487294469</v>
      </c>
      <c r="S152" s="86" t="str">
        <f t="shared" si="67"/>
        <v>1+0.00271169681958088j</v>
      </c>
      <c r="T152" s="86" t="str">
        <f t="shared" si="68"/>
        <v>0.847318094024409+0.106487131608594j</v>
      </c>
      <c r="U152" s="86" t="str">
        <f t="shared" si="69"/>
        <v>1.16223971945427-0.142864737576576j</v>
      </c>
      <c r="V152" s="86" t="str">
        <f t="shared" si="70"/>
        <v>13.8982328185862-1.70839745980958j</v>
      </c>
      <c r="X152" s="86" t="str">
        <f t="shared" si="71"/>
        <v>0.49908581005824+0.558764498226784j</v>
      </c>
      <c r="Y152" s="86">
        <f t="shared" si="72"/>
        <v>-2.5080154542900965</v>
      </c>
      <c r="Z152" s="86">
        <f t="shared" si="73"/>
        <v>-131.77107780203315</v>
      </c>
      <c r="AB152" s="86" t="str">
        <f t="shared" si="74"/>
        <v>6.46353701262489-0.794510378253748j</v>
      </c>
      <c r="AC152" s="86">
        <f t="shared" si="75"/>
        <v>16.274534999978385</v>
      </c>
      <c r="AD152" s="86">
        <f t="shared" si="76"/>
        <v>172.99224693168205</v>
      </c>
      <c r="AF152" s="86" t="str">
        <f t="shared" si="77"/>
        <v>3.61224419208124-1.87641305977365j</v>
      </c>
      <c r="AG152" s="86">
        <f t="shared" si="78"/>
        <v>12.193024332790811</v>
      </c>
      <c r="AH152" s="86">
        <f t="shared" si="79"/>
        <v>152.5499693941658</v>
      </c>
      <c r="AJ152" s="86" t="str">
        <f t="shared" si="80"/>
        <v>101760.244813089-18157.0449400381j</v>
      </c>
      <c r="AK152" s="86" t="str">
        <f t="shared" si="81"/>
        <v>20000-0.0000144623830377647j</v>
      </c>
      <c r="AL152" s="86" t="str">
        <f t="shared" si="95"/>
        <v>10000-614621.315565899j</v>
      </c>
      <c r="AM152" s="86" t="str">
        <f t="shared" si="96"/>
        <v>963.017869715858-190755.352054912j</v>
      </c>
      <c r="AN152" s="86" t="str">
        <f t="shared" si="97"/>
        <v>10963.0178697159-190755.352054912j</v>
      </c>
      <c r="AO152" s="86" t="str">
        <f t="shared" si="98"/>
        <v>19668.368673546-2043.0970446894j</v>
      </c>
      <c r="AP152" s="86" t="str">
        <f t="shared" si="99"/>
        <v>0.16068406833914+0.0239614156683247j</v>
      </c>
      <c r="AQ152" s="86" t="str">
        <f t="shared" si="82"/>
        <v>1+1.106372302389j</v>
      </c>
      <c r="AR152" s="86">
        <f t="shared" si="83"/>
        <v>9.9599980499511911E-8</v>
      </c>
      <c r="AS152" s="86" t="str">
        <f t="shared" si="84"/>
        <v>0.0000434981479031089j</v>
      </c>
      <c r="AT152" s="86" t="str">
        <f t="shared" si="85"/>
        <v>9.95999804995119E-08+0.0000434981479031089j</v>
      </c>
      <c r="AU152" s="86" t="str">
        <f t="shared" si="86"/>
        <v>3.82311533502705-3.43966869854913j</v>
      </c>
      <c r="AW152" s="86" t="str">
        <f t="shared" si="100"/>
        <v>0.684726663304777-0.478316588155986j</v>
      </c>
      <c r="AX152" s="86">
        <f t="shared" si="87"/>
        <v>-1.5637026882615011</v>
      </c>
      <c r="AY152" s="86">
        <f t="shared" si="88"/>
        <v>145.06373170669707</v>
      </c>
      <c r="AZ152" s="86" t="str">
        <f t="shared" si="89"/>
        <v>4.04572863842072-3.63563941156138j</v>
      </c>
      <c r="BA152" s="86">
        <f t="shared" si="90"/>
        <v>14.710832311716898</v>
      </c>
      <c r="BB152" s="86">
        <f t="shared" si="91"/>
        <v>138.05597863837914</v>
      </c>
      <c r="BD152" s="86" t="str">
        <f t="shared" si="92"/>
        <v>1.57588041996359-3.0126263709429j</v>
      </c>
      <c r="BE152" s="86">
        <f t="shared" si="93"/>
        <v>10.629321644529337</v>
      </c>
      <c r="BF152" s="86">
        <f t="shared" si="94"/>
        <v>117.61370110086298</v>
      </c>
      <c r="BH152" s="86">
        <f t="shared" si="101"/>
        <v>-9.6293216445293375</v>
      </c>
      <c r="BI152" s="162">
        <f t="shared" si="102"/>
        <v>-117.61370110086298</v>
      </c>
      <c r="BJ152" s="88"/>
      <c r="BK152" s="88"/>
      <c r="BL152" s="88"/>
      <c r="BM152" s="88"/>
      <c r="BN152" s="42"/>
      <c r="BO152" s="42"/>
      <c r="BP152" s="42"/>
    </row>
    <row r="153" spans="1:68" s="86" customFormat="1">
      <c r="A153" s="86">
        <v>89</v>
      </c>
      <c r="B153" s="86">
        <f t="shared" si="52"/>
        <v>6025.5958607435823</v>
      </c>
      <c r="C153" s="86" t="str">
        <f t="shared" si="53"/>
        <v>37859.9353792262j</v>
      </c>
      <c r="D153" s="86">
        <f t="shared" si="54"/>
        <v>0.9995529971624868</v>
      </c>
      <c r="E153" s="86" t="str">
        <f t="shared" si="55"/>
        <v>-0.0332104696309002j</v>
      </c>
      <c r="F153" s="86" t="str">
        <f t="shared" si="56"/>
        <v>0.999552997162487-0.0332104696309002j</v>
      </c>
      <c r="G153" s="86">
        <f t="shared" si="57"/>
        <v>9.0814261649244544E-4</v>
      </c>
      <c r="H153" s="86">
        <f t="shared" si="58"/>
        <v>-1.9029706540029712</v>
      </c>
      <c r="J153" s="86">
        <f t="shared" si="59"/>
        <v>8.3707025411061284</v>
      </c>
      <c r="K153" s="86" t="str">
        <f t="shared" si="60"/>
        <v>1+1.62540815426314j</v>
      </c>
      <c r="L153" s="86">
        <f t="shared" si="61"/>
        <v>0.8325876191521816</v>
      </c>
      <c r="M153" s="86" t="str">
        <f t="shared" si="62"/>
        <v>0.111505715507412j</v>
      </c>
      <c r="N153" s="86" t="str">
        <f t="shared" si="63"/>
        <v>0.832587619152182+0.111505715507412j</v>
      </c>
      <c r="O153" s="86" t="str">
        <f t="shared" si="64"/>
        <v>1.43676115612722+1.75981607200444j</v>
      </c>
      <c r="P153" s="86" t="str">
        <f t="shared" si="65"/>
        <v>12.0267002605567+14.730896865807j</v>
      </c>
      <c r="R153" s="86">
        <f t="shared" si="66"/>
        <v>11.958146487294469</v>
      </c>
      <c r="S153" s="86" t="str">
        <f t="shared" si="67"/>
        <v>1+0.00283949515344196j</v>
      </c>
      <c r="T153" s="86" t="str">
        <f t="shared" si="68"/>
        <v>0.832587619152182+0.111505715507412j</v>
      </c>
      <c r="U153" s="86" t="str">
        <f t="shared" si="69"/>
        <v>1.1803601726471-0.154671301244137j</v>
      </c>
      <c r="V153" s="86" t="str">
        <f t="shared" si="70"/>
        <v>14.1149198522822-1.84958207765784j</v>
      </c>
      <c r="X153" s="86" t="str">
        <f t="shared" si="71"/>
        <v>0.517817673397452+0.592914751372654j</v>
      </c>
      <c r="Y153" s="86">
        <f t="shared" si="72"/>
        <v>-2.0783038612064129</v>
      </c>
      <c r="Z153" s="86">
        <f t="shared" si="73"/>
        <v>-131.13209513097385</v>
      </c>
      <c r="AB153" s="86" t="str">
        <f t="shared" si="74"/>
        <v>6.56430987207628-0.860169949149349j</v>
      </c>
      <c r="AC153" s="86">
        <f t="shared" si="75"/>
        <v>16.41772029876438</v>
      </c>
      <c r="AD153" s="86">
        <f t="shared" si="76"/>
        <v>172.53464610076614</v>
      </c>
      <c r="AF153" s="86" t="str">
        <f t="shared" si="77"/>
        <v>3.56018250548724-1.95745162696732j</v>
      </c>
      <c r="AG153" s="86">
        <f t="shared" si="78"/>
        <v>12.176554262556031</v>
      </c>
      <c r="AH153" s="86">
        <f t="shared" si="79"/>
        <v>151.19722274469677</v>
      </c>
      <c r="AJ153" s="86" t="str">
        <f t="shared" si="80"/>
        <v>101458.22229914-18956.3305865871j</v>
      </c>
      <c r="AK153" s="86" t="str">
        <f t="shared" si="81"/>
        <v>20000-0.0000151439741516905j</v>
      </c>
      <c r="AL153" s="86" t="str">
        <f t="shared" si="95"/>
        <v>10000-586958.799576176j</v>
      </c>
      <c r="AM153" s="86" t="str">
        <f t="shared" si="96"/>
        <v>963.006173312716-182170.942425828j</v>
      </c>
      <c r="AN153" s="86" t="str">
        <f t="shared" si="97"/>
        <v>10963.0061733127-182170.942425828j</v>
      </c>
      <c r="AO153" s="86" t="str">
        <f t="shared" si="98"/>
        <v>19637.2758213213-2134.08882100462j</v>
      </c>
      <c r="AP153" s="86" t="str">
        <f t="shared" si="99"/>
        <v>0.160750007091481+0.0250887112113968j</v>
      </c>
      <c r="AQ153" s="86" t="str">
        <f t="shared" si="82"/>
        <v>1+1.15851402260432j</v>
      </c>
      <c r="AR153" s="86">
        <f t="shared" si="83"/>
        <v>9.9561387339682726E-8</v>
      </c>
      <c r="AS153" s="86" t="str">
        <f t="shared" si="84"/>
        <v>0.0000455481524566857j</v>
      </c>
      <c r="AT153" s="86" t="str">
        <f t="shared" si="85"/>
        <v>9.95613873396827E-08+0.0000455481524566857j</v>
      </c>
      <c r="AU153" s="86" t="str">
        <f t="shared" si="86"/>
        <v>3.82241956049352-3.28486286568582j</v>
      </c>
      <c r="AW153" s="86" t="str">
        <f t="shared" si="100"/>
        <v>0.685036010411631-0.450185730976324j</v>
      </c>
      <c r="AX153" s="86">
        <f t="shared" si="87"/>
        <v>-1.7266851742217675</v>
      </c>
      <c r="AY153" s="86">
        <f t="shared" si="88"/>
        <v>146.68824706892178</v>
      </c>
      <c r="AZ153" s="86" t="str">
        <f t="shared" si="89"/>
        <v>4.10955240855115-3.544406028357j</v>
      </c>
      <c r="BA153" s="86">
        <f t="shared" si="90"/>
        <v>14.691035124542607</v>
      </c>
      <c r="BB153" s="86">
        <f t="shared" si="91"/>
        <v>139.22289316968795</v>
      </c>
      <c r="BD153" s="86" t="str">
        <f t="shared" si="92"/>
        <v>1.55763642835919-2.94366821675334j</v>
      </c>
      <c r="BE153" s="86">
        <f t="shared" si="93"/>
        <v>10.449869088334262</v>
      </c>
      <c r="BF153" s="86">
        <f t="shared" si="94"/>
        <v>117.88546981361861</v>
      </c>
      <c r="BH153" s="86">
        <f t="shared" si="101"/>
        <v>-9.4498690883342622</v>
      </c>
      <c r="BI153" s="162">
        <f t="shared" si="102"/>
        <v>-117.88546981361861</v>
      </c>
      <c r="BJ153" s="88"/>
      <c r="BK153" s="88"/>
      <c r="BL153" s="88"/>
      <c r="BM153" s="88"/>
      <c r="BN153" s="42"/>
      <c r="BO153" s="42"/>
      <c r="BP153" s="42"/>
    </row>
    <row r="154" spans="1:68" s="86" customFormat="1">
      <c r="A154" s="86">
        <v>90</v>
      </c>
      <c r="B154" s="86">
        <f t="shared" si="52"/>
        <v>6309.5734448019366</v>
      </c>
      <c r="C154" s="86" t="str">
        <f t="shared" si="53"/>
        <v>39644.21916295j</v>
      </c>
      <c r="D154" s="86">
        <f t="shared" si="54"/>
        <v>0.99950987113505263</v>
      </c>
      <c r="E154" s="86" t="str">
        <f t="shared" si="55"/>
        <v>-0.034775630844693j</v>
      </c>
      <c r="F154" s="86" t="str">
        <f t="shared" si="56"/>
        <v>0.999509871135053-0.034775630844693j</v>
      </c>
      <c r="G154" s="86">
        <f t="shared" si="57"/>
        <v>9.9584031156178419E-4</v>
      </c>
      <c r="H154" s="86">
        <f t="shared" si="58"/>
        <v>-1.9926701329326386</v>
      </c>
      <c r="J154" s="86">
        <f t="shared" si="59"/>
        <v>8.3707025411061284</v>
      </c>
      <c r="K154" s="86" t="str">
        <f t="shared" si="60"/>
        <v>1+1.70201128056365j</v>
      </c>
      <c r="L154" s="86">
        <f t="shared" si="61"/>
        <v>0.81643597463594808</v>
      </c>
      <c r="M154" s="86" t="str">
        <f t="shared" si="62"/>
        <v>0.116760817978653j</v>
      </c>
      <c r="N154" s="86" t="str">
        <f t="shared" si="63"/>
        <v>0.816435974635948+0.116760817978653j</v>
      </c>
      <c r="O154" s="86" t="str">
        <f t="shared" si="64"/>
        <v>1.49244784766559+1.87124513929089j</v>
      </c>
      <c r="P154" s="86" t="str">
        <f t="shared" si="65"/>
        <v>12.4928369909227+15.6636364424947j</v>
      </c>
      <c r="R154" s="86">
        <f t="shared" si="66"/>
        <v>11.958146487294469</v>
      </c>
      <c r="S154" s="86" t="str">
        <f t="shared" si="67"/>
        <v>1+0.00297331643722125j</v>
      </c>
      <c r="T154" s="86" t="str">
        <f t="shared" si="68"/>
        <v>0.816435974635948+0.116760817978653j</v>
      </c>
      <c r="U154" s="86" t="str">
        <f t="shared" si="69"/>
        <v>1.20079710925075-0.168087566604951j</v>
      </c>
      <c r="V154" s="86" t="str">
        <f t="shared" si="70"/>
        <v>14.3593077339402-2.01001574415487j</v>
      </c>
      <c r="X154" s="86" t="str">
        <f t="shared" si="71"/>
        <v>0.539377257402172+0.630026019518249j</v>
      </c>
      <c r="Y154" s="86">
        <f t="shared" si="72"/>
        <v>-1.6249955882129163</v>
      </c>
      <c r="Z154" s="86">
        <f t="shared" si="73"/>
        <v>-130.56746082335002</v>
      </c>
      <c r="AB154" s="86" t="str">
        <f t="shared" si="74"/>
        <v>6.67796533742588-0.934781517037888j</v>
      </c>
      <c r="AC154" s="86">
        <f t="shared" si="75"/>
        <v>16.57715761357807</v>
      </c>
      <c r="AD154" s="86">
        <f t="shared" si="76"/>
        <v>172.03151409273923</v>
      </c>
      <c r="AF154" s="86" t="str">
        <f t="shared" si="77"/>
        <v>3.50282596130269-2.04085970440048j</v>
      </c>
      <c r="AG154" s="86">
        <f t="shared" si="78"/>
        <v>12.157670143359846</v>
      </c>
      <c r="AH154" s="86">
        <f t="shared" si="79"/>
        <v>149.77353865208147</v>
      </c>
      <c r="AJ154" s="86" t="str">
        <f t="shared" si="80"/>
        <v>101129.115100248-19785.3270017659j</v>
      </c>
      <c r="AK154" s="86" t="str">
        <f t="shared" si="81"/>
        <v>20000-0.00001585768766518j</v>
      </c>
      <c r="AL154" s="86" t="str">
        <f t="shared" si="95"/>
        <v>10000-560541.301895291j</v>
      </c>
      <c r="AM154" s="86" t="str">
        <f t="shared" si="96"/>
        <v>962.993348788252-173972.941763171j</v>
      </c>
      <c r="AN154" s="86" t="str">
        <f t="shared" si="97"/>
        <v>10962.9933487883-173972.941763171j</v>
      </c>
      <c r="AO154" s="86" t="str">
        <f t="shared" si="98"/>
        <v>19603.3600686072-2228.6157791922j</v>
      </c>
      <c r="AP154" s="86" t="str">
        <f t="shared" si="99"/>
        <v>0.160822295588523+0.0262688428909331j</v>
      </c>
      <c r="AQ154" s="86" t="str">
        <f t="shared" si="82"/>
        <v>1+1.21311310638627j</v>
      </c>
      <c r="AR154" s="86">
        <f t="shared" si="83"/>
        <v>9.9519070781409753E-8</v>
      </c>
      <c r="AS154" s="86" t="str">
        <f t="shared" si="84"/>
        <v>0.0000476947707483703j</v>
      </c>
      <c r="AT154" s="86" t="str">
        <f t="shared" si="85"/>
        <v>9.95190707814098E-08+0.0000476947707483703j</v>
      </c>
      <c r="AU154" s="86" t="str">
        <f t="shared" si="86"/>
        <v>3.82178500600725-3.13702439826882j</v>
      </c>
      <c r="AW154" s="86" t="str">
        <f t="shared" si="100"/>
        <v>0.685395593596946-0.42301324951989j</v>
      </c>
      <c r="AX154" s="86">
        <f t="shared" si="87"/>
        <v>-1.8795119545256922</v>
      </c>
      <c r="AY154" s="86">
        <f t="shared" si="88"/>
        <v>148.31789690531895</v>
      </c>
      <c r="AZ154" s="86" t="str">
        <f t="shared" si="89"/>
        <v>4.18162304935151-3.46556295031935j</v>
      </c>
      <c r="BA154" s="86">
        <f t="shared" si="90"/>
        <v>14.697645659052384</v>
      </c>
      <c r="BB154" s="86">
        <f t="shared" si="91"/>
        <v>140.34941099805815</v>
      </c>
      <c r="BD154" s="86" t="str">
        <f t="shared" si="92"/>
        <v>1.5375107836412-2.88053804093894j</v>
      </c>
      <c r="BE154" s="86">
        <f t="shared" si="93"/>
        <v>10.278158188834157</v>
      </c>
      <c r="BF154" s="86">
        <f t="shared" si="94"/>
        <v>118.09143555740036</v>
      </c>
      <c r="BH154" s="86">
        <f t="shared" si="101"/>
        <v>-9.2781581888341567</v>
      </c>
      <c r="BI154" s="162">
        <f t="shared" si="102"/>
        <v>-118.09143555740036</v>
      </c>
      <c r="BJ154" s="88"/>
      <c r="BK154" s="88"/>
      <c r="BL154" s="88"/>
      <c r="BM154" s="88"/>
      <c r="BN154" s="42"/>
      <c r="BO154" s="42"/>
      <c r="BP154" s="42"/>
    </row>
    <row r="155" spans="1:68" s="86" customFormat="1">
      <c r="A155" s="86">
        <v>91</v>
      </c>
      <c r="B155" s="86">
        <f t="shared" si="52"/>
        <v>6606.9344800759627</v>
      </c>
      <c r="C155" s="86" t="str">
        <f t="shared" si="53"/>
        <v>41512.5936507115j</v>
      </c>
      <c r="D155" s="86">
        <f t="shared" si="54"/>
        <v>0.99946258438628477</v>
      </c>
      <c r="E155" s="86" t="str">
        <f t="shared" si="55"/>
        <v>-0.0364145558339575j</v>
      </c>
      <c r="F155" s="86" t="str">
        <f t="shared" si="56"/>
        <v>0.999462584386285-0.0364145558339575j</v>
      </c>
      <c r="G155" s="86">
        <f t="shared" si="57"/>
        <v>1.0920154495228521E-3</v>
      </c>
      <c r="H155" s="86">
        <f t="shared" si="58"/>
        <v>-2.0865992729610077</v>
      </c>
      <c r="J155" s="86">
        <f t="shared" si="59"/>
        <v>8.3707025411061284</v>
      </c>
      <c r="K155" s="86" t="str">
        <f t="shared" si="60"/>
        <v>1+1.78222460098287j</v>
      </c>
      <c r="L155" s="86">
        <f t="shared" si="61"/>
        <v>0.79872604859204244</v>
      </c>
      <c r="M155" s="86" t="str">
        <f t="shared" si="62"/>
        <v>0.122263585799222j</v>
      </c>
      <c r="N155" s="86" t="str">
        <f t="shared" si="63"/>
        <v>0.798726048592042+0.122263585799222j</v>
      </c>
      <c r="O155" s="86" t="str">
        <f t="shared" si="64"/>
        <v>1.55706696968288+1.99298872591667j</v>
      </c>
      <c r="P155" s="86" t="str">
        <f t="shared" si="65"/>
        <v>13.0337444397969+16.6827157924265j</v>
      </c>
      <c r="R155" s="86">
        <f t="shared" si="66"/>
        <v>11.958146487294469</v>
      </c>
      <c r="S155" s="86" t="str">
        <f t="shared" si="67"/>
        <v>1+0.00311344452380336j</v>
      </c>
      <c r="T155" s="86" t="str">
        <f t="shared" si="68"/>
        <v>0.798726048592042+0.122263585799222j</v>
      </c>
      <c r="U155" s="86" t="str">
        <f t="shared" si="69"/>
        <v>1.22391240301773-0.183450226559628j</v>
      </c>
      <c r="V155" s="86" t="str">
        <f t="shared" si="70"/>
        <v>14.6357238029026-2.19372468232739j</v>
      </c>
      <c r="X155" s="86" t="str">
        <f t="shared" si="71"/>
        <v>0.56432773417392+0.670490169160343j</v>
      </c>
      <c r="Y155" s="86">
        <f t="shared" si="72"/>
        <v>-1.1462585396322118</v>
      </c>
      <c r="Z155" s="86">
        <f t="shared" si="73"/>
        <v>-130.08612663155321</v>
      </c>
      <c r="AB155" s="86" t="str">
        <f t="shared" si="74"/>
        <v>6.80651588884803-1.02021752440137j</v>
      </c>
      <c r="AC155" s="86">
        <f t="shared" si="75"/>
        <v>16.754988221111958</v>
      </c>
      <c r="AD155" s="86">
        <f t="shared" si="76"/>
        <v>171.4754900701715</v>
      </c>
      <c r="AF155" s="86" t="str">
        <f t="shared" si="77"/>
        <v>3.43965557554731-2.12645515414328j</v>
      </c>
      <c r="AG155" s="86">
        <f t="shared" si="78"/>
        <v>12.135985521860418</v>
      </c>
      <c r="AH155" s="86">
        <f t="shared" si="79"/>
        <v>148.27491931265172</v>
      </c>
      <c r="AJ155" s="86" t="str">
        <f t="shared" si="80"/>
        <v>100770.701553826-20644.3544704478j</v>
      </c>
      <c r="AK155" s="86" t="str">
        <f t="shared" si="81"/>
        <v>20000-0.0000166050374602846j</v>
      </c>
      <c r="AL155" s="86" t="str">
        <f t="shared" si="95"/>
        <v>10000-535312.787468805j</v>
      </c>
      <c r="AM155" s="86" t="str">
        <f t="shared" si="96"/>
        <v>962.979287369397-166143.961004479j</v>
      </c>
      <c r="AN155" s="86" t="str">
        <f t="shared" si="97"/>
        <v>10962.9792873694-166143.961004479j</v>
      </c>
      <c r="AO155" s="86" t="str">
        <f t="shared" si="98"/>
        <v>19566.3831127512-2326.74079565992j</v>
      </c>
      <c r="AP155" s="86" t="str">
        <f t="shared" si="99"/>
        <v>0.160901544037491+0.0275042576823867j</v>
      </c>
      <c r="AQ155" s="86" t="str">
        <f t="shared" si="82"/>
        <v>1+1.27028536571177j</v>
      </c>
      <c r="AR155" s="86">
        <f t="shared" si="83"/>
        <v>9.9472671597927616E-8</v>
      </c>
      <c r="AS155" s="86" t="str">
        <f t="shared" si="84"/>
        <v>0.0000499425560433615j</v>
      </c>
      <c r="AT155" s="86" t="str">
        <f t="shared" si="85"/>
        <v>9.94726715979276E-08+0.0000499425560433615j</v>
      </c>
      <c r="AU155" s="86" t="str">
        <f t="shared" si="86"/>
        <v>3.82120628496201-2.99583974581125j</v>
      </c>
      <c r="AW155" s="86" t="str">
        <f t="shared" si="100"/>
        <v>0.68580842516281-0.396742031996591j</v>
      </c>
      <c r="AX155" s="86">
        <f t="shared" si="87"/>
        <v>-2.0222197083396547</v>
      </c>
      <c r="AY155" s="86">
        <f t="shared" si="88"/>
        <v>149.9505022482046</v>
      </c>
      <c r="AZ155" s="86" t="str">
        <f t="shared" si="89"/>
        <v>4.26320276886698-3.40010471829186j</v>
      </c>
      <c r="BA155" s="86">
        <f t="shared" si="90"/>
        <v>14.732768512772312</v>
      </c>
      <c r="BB155" s="86">
        <f t="shared" si="91"/>
        <v>141.42599231837607</v>
      </c>
      <c r="BD155" s="86" t="str">
        <f t="shared" si="92"/>
        <v>1.51529063456415-2.82299680285339j</v>
      </c>
      <c r="BE155" s="86">
        <f t="shared" si="93"/>
        <v>10.11376581352077</v>
      </c>
      <c r="BF155" s="86">
        <f t="shared" si="94"/>
        <v>118.22542156085629</v>
      </c>
      <c r="BH155" s="86">
        <f t="shared" si="101"/>
        <v>-9.1137658135207698</v>
      </c>
      <c r="BI155" s="162">
        <f t="shared" si="102"/>
        <v>-118.22542156085629</v>
      </c>
      <c r="BJ155" s="88"/>
      <c r="BK155" s="88"/>
      <c r="BL155" s="88"/>
      <c r="BM155" s="88"/>
      <c r="BN155" s="42"/>
      <c r="BO155" s="42"/>
      <c r="BP155" s="42"/>
    </row>
    <row r="156" spans="1:68" s="86" customFormat="1">
      <c r="A156" s="86">
        <v>92</v>
      </c>
      <c r="B156" s="86">
        <f t="shared" si="52"/>
        <v>6918.309709189366</v>
      </c>
      <c r="C156" s="86" t="str">
        <f t="shared" si="53"/>
        <v>43469.0219152965j</v>
      </c>
      <c r="D156" s="86">
        <f t="shared" si="54"/>
        <v>0.99941073549729442</v>
      </c>
      <c r="E156" s="86" t="str">
        <f t="shared" si="55"/>
        <v>-0.0381307209783303j</v>
      </c>
      <c r="F156" s="86" t="str">
        <f t="shared" si="56"/>
        <v>0.999410735497294-0.0381307209783303j</v>
      </c>
      <c r="G156" s="86">
        <f t="shared" si="57"/>
        <v>1.1974892603139405E-3</v>
      </c>
      <c r="H156" s="86">
        <f t="shared" si="58"/>
        <v>-2.1849577453685032</v>
      </c>
      <c r="J156" s="86">
        <f t="shared" si="59"/>
        <v>8.3707025411061284</v>
      </c>
      <c r="K156" s="86" t="str">
        <f t="shared" si="60"/>
        <v>1+1.86621825872778j</v>
      </c>
      <c r="L156" s="86">
        <f t="shared" si="61"/>
        <v>0.7793075008295911</v>
      </c>
      <c r="M156" s="86" t="str">
        <f t="shared" si="62"/>
        <v>0.128025691077436j</v>
      </c>
      <c r="N156" s="86" t="str">
        <f t="shared" si="63"/>
        <v>0.779307500829591+0.128025691077436j</v>
      </c>
      <c r="O156" s="86" t="str">
        <f t="shared" si="64"/>
        <v>1.63253778991339+2.12651806661677j</v>
      </c>
      <c r="P156" s="86" t="str">
        <f t="shared" si="65"/>
        <v>13.6654882264798+17.8004501839371j</v>
      </c>
      <c r="R156" s="86">
        <f t="shared" si="66"/>
        <v>11.958146487294469</v>
      </c>
      <c r="S156" s="86" t="str">
        <f t="shared" si="67"/>
        <v>1+0.00326017664364724j</v>
      </c>
      <c r="T156" s="86" t="str">
        <f t="shared" si="68"/>
        <v>0.779307500829591+0.128025691077436j</v>
      </c>
      <c r="U156" s="86" t="str">
        <f t="shared" si="69"/>
        <v>1.25013858854423-0.201191031692101j</v>
      </c>
      <c r="V156" s="86" t="str">
        <f t="shared" si="70"/>
        <v>14.9493403712314-2.40587182890405j</v>
      </c>
      <c r="X156" s="86" t="str">
        <f t="shared" si="71"/>
        <v>0.593381631619957+0.714767815679695j</v>
      </c>
      <c r="Y156" s="86">
        <f t="shared" si="72"/>
        <v>-0.63991825621987064</v>
      </c>
      <c r="Z156" s="86">
        <f t="shared" si="73"/>
        <v>-129.69857439407312</v>
      </c>
      <c r="AB156" s="86" t="str">
        <f t="shared" si="74"/>
        <v>6.95236697104136-1.11887905582911j</v>
      </c>
      <c r="AC156" s="86">
        <f t="shared" si="75"/>
        <v>16.953704341879718</v>
      </c>
      <c r="AD156" s="86">
        <f t="shared" si="76"/>
        <v>170.85749734267338</v>
      </c>
      <c r="AF156" s="86" t="str">
        <f t="shared" si="77"/>
        <v>3.37011490949272-2.21398857516025j</v>
      </c>
      <c r="AG156" s="86">
        <f t="shared" si="78"/>
        <v>12.111050472489231</v>
      </c>
      <c r="AH156" s="86">
        <f t="shared" si="79"/>
        <v>146.69718707946484</v>
      </c>
      <c r="AJ156" s="86" t="str">
        <f t="shared" si="80"/>
        <v>100380.617612457-21533.6122619881j</v>
      </c>
      <c r="AK156" s="86" t="str">
        <f t="shared" si="81"/>
        <v>20000-0.0000173876087661186j</v>
      </c>
      <c r="AL156" s="86" t="str">
        <f t="shared" si="95"/>
        <v>10000-511219.743235179j</v>
      </c>
      <c r="AM156" s="86" t="str">
        <f t="shared" si="96"/>
        <v>962.963869802179-158667.393827402j</v>
      </c>
      <c r="AN156" s="86" t="str">
        <f t="shared" si="97"/>
        <v>10962.9638698022-158667.393827402j</v>
      </c>
      <c r="AO156" s="86" t="str">
        <f t="shared" si="98"/>
        <v>19526.0900212755-2428.51625575316j</v>
      </c>
      <c r="AP156" s="86" t="str">
        <f t="shared" si="99"/>
        <v>0.160988421032099+0.0287975115208893j</v>
      </c>
      <c r="AQ156" s="86" t="str">
        <f t="shared" si="82"/>
        <v>1+1.33015207060807j</v>
      </c>
      <c r="AR156" s="86">
        <f t="shared" si="83"/>
        <v>9.9421795904920608E-8</v>
      </c>
      <c r="AS156" s="86" t="str">
        <f t="shared" si="84"/>
        <v>0.0000522962761956358j</v>
      </c>
      <c r="AT156" s="86" t="str">
        <f t="shared" si="85"/>
        <v>9.94217959049206E-08+0.0000522962761956358j</v>
      </c>
      <c r="AU156" s="86" t="str">
        <f t="shared" si="86"/>
        <v>3.82067848469854-2.86100946697926j</v>
      </c>
      <c r="AW156" s="86" t="str">
        <f t="shared" si="100"/>
        <v>0.68627796131955-0.371316954112067j</v>
      </c>
      <c r="AX156" s="86">
        <f t="shared" si="87"/>
        <v>-2.1548703571746435</v>
      </c>
      <c r="AY156" s="86">
        <f t="shared" si="88"/>
        <v>151.58399134138904</v>
      </c>
      <c r="AZ156" s="86" t="str">
        <f t="shared" si="89"/>
        <v>4.35579746820139-3.34939376495396j</v>
      </c>
      <c r="BA156" s="86">
        <f t="shared" si="90"/>
        <v>14.798833984705075</v>
      </c>
      <c r="BB156" s="86">
        <f t="shared" si="91"/>
        <v>142.44148868406242</v>
      </c>
      <c r="BD156" s="86" t="str">
        <f t="shared" si="92"/>
        <v>1.49074409533186-2.77079236894626j</v>
      </c>
      <c r="BE156" s="86">
        <f t="shared" si="93"/>
        <v>9.9561801153145986</v>
      </c>
      <c r="BF156" s="86">
        <f t="shared" si="94"/>
        <v>118.28117842085376</v>
      </c>
      <c r="BH156" s="86">
        <f t="shared" si="101"/>
        <v>-8.9561801153145986</v>
      </c>
      <c r="BI156" s="162">
        <f t="shared" si="102"/>
        <v>-118.28117842085376</v>
      </c>
      <c r="BJ156" s="88"/>
      <c r="BK156" s="88"/>
      <c r="BL156" s="88"/>
      <c r="BM156" s="88"/>
      <c r="BN156" s="42"/>
      <c r="BO156" s="42"/>
      <c r="BP156" s="42"/>
    </row>
    <row r="157" spans="1:68" s="86" customFormat="1">
      <c r="A157" s="86">
        <v>93</v>
      </c>
      <c r="B157" s="86">
        <f t="shared" si="52"/>
        <v>7244.3596007499063</v>
      </c>
      <c r="C157" s="86" t="str">
        <f t="shared" si="53"/>
        <v>45517.6538033572j</v>
      </c>
      <c r="D157" s="86">
        <f t="shared" si="54"/>
        <v>0.99935388432102212</v>
      </c>
      <c r="E157" s="86" t="str">
        <f t="shared" si="55"/>
        <v>-0.039927766494173j</v>
      </c>
      <c r="F157" s="86" t="str">
        <f t="shared" si="56"/>
        <v>0.999353884321022-0.039927766494173j</v>
      </c>
      <c r="G157" s="86">
        <f t="shared" si="57"/>
        <v>1.3131628801075659E-3</v>
      </c>
      <c r="H157" s="86">
        <f t="shared" si="58"/>
        <v>-2.2879546809120921</v>
      </c>
      <c r="J157" s="86">
        <f t="shared" si="59"/>
        <v>8.3707025411061284</v>
      </c>
      <c r="K157" s="86" t="str">
        <f t="shared" si="60"/>
        <v>1+1.9541704156077j</v>
      </c>
      <c r="L157" s="86">
        <f t="shared" si="61"/>
        <v>0.75801548660729845</v>
      </c>
      <c r="M157" s="86" t="str">
        <f t="shared" si="62"/>
        <v>0.134059356011128j</v>
      </c>
      <c r="N157" s="86" t="str">
        <f t="shared" si="63"/>
        <v>0.758015486607298+0.134059356011128j</v>
      </c>
      <c r="O157" s="86" t="str">
        <f t="shared" si="64"/>
        <v>1.72133010330611+2.273581530886j</v>
      </c>
      <c r="P157" s="86" t="str">
        <f t="shared" si="65"/>
        <v>14.4087422698269+19.0314746979994j</v>
      </c>
      <c r="R157" s="86">
        <f t="shared" si="66"/>
        <v>11.958146487294469</v>
      </c>
      <c r="S157" s="86" t="str">
        <f t="shared" si="67"/>
        <v>1+0.00341382403525179j</v>
      </c>
      <c r="T157" s="86" t="str">
        <f t="shared" si="68"/>
        <v>0.758015486607298+0.134059356011128j</v>
      </c>
      <c r="U157" s="86" t="str">
        <f t="shared" si="69"/>
        <v>1.27999514631707-0.221870798089002j</v>
      </c>
      <c r="V157" s="86" t="str">
        <f t="shared" si="70"/>
        <v>15.3063694626854-2.65316350480122j</v>
      </c>
      <c r="X157" s="86" t="str">
        <f t="shared" si="71"/>
        <v>0.627451691004951+0.76340095582727j</v>
      </c>
      <c r="Y157" s="86">
        <f t="shared" si="72"/>
        <v>-0.10338140031396009</v>
      </c>
      <c r="Z157" s="86">
        <f t="shared" si="73"/>
        <v>-129.41734275799308</v>
      </c>
      <c r="AB157" s="86" t="str">
        <f t="shared" si="74"/>
        <v>7.11840755888579-1.23388496492123j</v>
      </c>
      <c r="AC157" s="86">
        <f t="shared" si="75"/>
        <v>17.17622231075951</v>
      </c>
      <c r="AD157" s="86">
        <f t="shared" si="76"/>
        <v>170.16621993681542</v>
      </c>
      <c r="AF157" s="86" t="str">
        <f t="shared" si="77"/>
        <v>3.2936130606807-2.30312969920202j</v>
      </c>
      <c r="AG157" s="86">
        <f t="shared" si="78"/>
        <v>12.082341949241012</v>
      </c>
      <c r="AH157" s="86">
        <f t="shared" si="79"/>
        <v>145.03600333561548</v>
      </c>
      <c r="AJ157" s="86" t="str">
        <f t="shared" si="80"/>
        <v>99956.3555458415-22453.1583147377j</v>
      </c>
      <c r="AK157" s="86" t="str">
        <f t="shared" si="81"/>
        <v>20000-0.0000182070615213429j</v>
      </c>
      <c r="AL157" s="86" t="str">
        <f t="shared" si="95"/>
        <v>10000-488211.064617378j</v>
      </c>
      <c r="AM157" s="86" t="str">
        <f t="shared" si="96"/>
        <v>962.946965343306-151527.381425372j</v>
      </c>
      <c r="AN157" s="86" t="str">
        <f t="shared" si="97"/>
        <v>10962.9469653433-151527.381425372j</v>
      </c>
      <c r="AO157" s="86" t="str">
        <f t="shared" si="98"/>
        <v>19482.2087579916-2533.9820191931j</v>
      </c>
      <c r="AP157" s="86" t="str">
        <f t="shared" si="99"/>
        <v>0.161083659087803+0.0301512735001296j</v>
      </c>
      <c r="AQ157" s="86" t="str">
        <f t="shared" si="82"/>
        <v>1+1.39284020638273j</v>
      </c>
      <c r="AR157" s="86">
        <f t="shared" si="83"/>
        <v>9.9366011816824739E-8</v>
      </c>
      <c r="AS157" s="86" t="str">
        <f t="shared" si="84"/>
        <v>0.000054760923761205j</v>
      </c>
      <c r="AT157" s="86" t="str">
        <f t="shared" si="85"/>
        <v>9.93660118168247E-08+0.000054760923761205j</v>
      </c>
      <c r="AU157" s="86" t="str">
        <f t="shared" si="86"/>
        <v>3.82019712480502-2.73224759501503j</v>
      </c>
      <c r="AW157" s="86" t="str">
        <f t="shared" si="100"/>
        <v>0.686808129892235-0.346684773466152j</v>
      </c>
      <c r="AX157" s="86">
        <f t="shared" si="87"/>
        <v>-2.2775478613836961</v>
      </c>
      <c r="AY157" s="86">
        <f t="shared" si="88"/>
        <v>153.2164174881288</v>
      </c>
      <c r="AZ157" s="86" t="str">
        <f t="shared" si="89"/>
        <v>4.46121105378209-3.31528573725176j</v>
      </c>
      <c r="BA157" s="86">
        <f t="shared" si="90"/>
        <v>14.898674449375813</v>
      </c>
      <c r="BB157" s="86">
        <f t="shared" si="91"/>
        <v>143.38263742494422</v>
      </c>
      <c r="BD157" s="86" t="str">
        <f t="shared" si="92"/>
        <v>1.46362022876373-2.72365369943545j</v>
      </c>
      <c r="BE157" s="86">
        <f t="shared" si="93"/>
        <v>9.8047940878573048</v>
      </c>
      <c r="BF157" s="86">
        <f t="shared" si="94"/>
        <v>118.25242082374427</v>
      </c>
      <c r="BH157" s="86">
        <f t="shared" si="101"/>
        <v>-8.8047940878573048</v>
      </c>
      <c r="BI157" s="162">
        <f t="shared" si="102"/>
        <v>-118.25242082374427</v>
      </c>
      <c r="BJ157" s="88"/>
      <c r="BK157" s="88"/>
      <c r="BL157" s="88"/>
      <c r="BM157" s="88"/>
      <c r="BN157" s="42"/>
      <c r="BO157" s="42"/>
      <c r="BP157" s="42"/>
    </row>
    <row r="158" spans="1:68" s="86" customFormat="1">
      <c r="A158" s="86">
        <v>94</v>
      </c>
      <c r="B158" s="86">
        <f t="shared" si="52"/>
        <v>7585.775750291843</v>
      </c>
      <c r="C158" s="86" t="str">
        <f t="shared" si="53"/>
        <v>47662.8347377929j</v>
      </c>
      <c r="D158" s="86">
        <f t="shared" si="54"/>
        <v>0.99929154824581456</v>
      </c>
      <c r="E158" s="86" t="str">
        <f t="shared" si="55"/>
        <v>-0.0418095041559587j</v>
      </c>
      <c r="F158" s="86" t="str">
        <f t="shared" si="56"/>
        <v>0.999291548245815-0.0418095041559587j</v>
      </c>
      <c r="G158" s="86">
        <f t="shared" si="57"/>
        <v>1.4400251969579794E-3</v>
      </c>
      <c r="H158" s="86">
        <f t="shared" si="58"/>
        <v>-2.395809122895884</v>
      </c>
      <c r="J158" s="86">
        <f t="shared" si="59"/>
        <v>8.3707025411061284</v>
      </c>
      <c r="K158" s="86" t="str">
        <f t="shared" si="60"/>
        <v>1+2.04626762993932j</v>
      </c>
      <c r="L158" s="86">
        <f t="shared" si="61"/>
        <v>0.73466925726058441</v>
      </c>
      <c r="M158" s="86" t="str">
        <f t="shared" si="62"/>
        <v>0.140377378812571j</v>
      </c>
      <c r="N158" s="86" t="str">
        <f t="shared" si="63"/>
        <v>0.734669257260584+0.140377378812571j</v>
      </c>
      <c r="O158" s="86" t="str">
        <f t="shared" si="64"/>
        <v>1.82666650684675+2.43625952230176j</v>
      </c>
      <c r="P158" s="86" t="str">
        <f t="shared" si="65"/>
        <v>15.2904819706155+20.3932037741253j</v>
      </c>
      <c r="R158" s="86">
        <f t="shared" si="66"/>
        <v>11.958146487294469</v>
      </c>
      <c r="S158" s="86" t="str">
        <f t="shared" si="67"/>
        <v>1+0.00357471260533447j</v>
      </c>
      <c r="T158" s="86" t="str">
        <f t="shared" si="68"/>
        <v>0.734669257260584+0.140377378812571j</v>
      </c>
      <c r="U158" s="86" t="str">
        <f t="shared" si="69"/>
        <v>1.31410849333048-0.246228342040957j</v>
      </c>
      <c r="V158" s="86" t="str">
        <f t="shared" si="70"/>
        <v>15.7143018634437-2.94443458344941j</v>
      </c>
      <c r="X158" s="86" t="str">
        <f t="shared" si="71"/>
        <v>0.667723086556257+0.817026463252015j</v>
      </c>
      <c r="Y158" s="86">
        <f t="shared" si="72"/>
        <v>0.46645897269486225</v>
      </c>
      <c r="Z158" s="86">
        <f t="shared" si="73"/>
        <v>-129.25775673270203</v>
      </c>
      <c r="AB158" s="86" t="str">
        <f t="shared" si="74"/>
        <v>7.30812133079959-1.36934401371713j</v>
      </c>
      <c r="AC158" s="86">
        <f t="shared" si="75"/>
        <v>17.425974190627361</v>
      </c>
      <c r="AD158" s="86">
        <f t="shared" si="76"/>
        <v>169.38737889870237</v>
      </c>
      <c r="AF158" s="86" t="str">
        <f t="shared" si="77"/>
        <v>3.20953025512658-2.39345200587585j</v>
      </c>
      <c r="AG158" s="86">
        <f t="shared" si="78"/>
        <v>12.049253122144592</v>
      </c>
      <c r="AH158" s="86">
        <f t="shared" si="79"/>
        <v>143.28689810131272</v>
      </c>
      <c r="AJ158" s="86" t="str">
        <f t="shared" si="80"/>
        <v>99495.2644344256-23402.8870171697j</v>
      </c>
      <c r="AK158" s="86" t="str">
        <f t="shared" si="81"/>
        <v>20000-0.0000190651338951172j</v>
      </c>
      <c r="AL158" s="86" t="str">
        <f t="shared" si="95"/>
        <v>10000-466237.947123228j</v>
      </c>
      <c r="AM158" s="86" t="str">
        <f t="shared" si="96"/>
        <v>962.928430654872-144708.77886886j</v>
      </c>
      <c r="AN158" s="86" t="str">
        <f t="shared" si="97"/>
        <v>10962.9284306549-144708.77886886j</v>
      </c>
      <c r="AO158" s="86" t="str">
        <f t="shared" si="98"/>
        <v>19434.449846962-2643.16316387869j</v>
      </c>
      <c r="AP158" s="86" t="str">
        <f t="shared" si="99"/>
        <v>0.161188060691443+0.0315683301320826j</v>
      </c>
      <c r="AQ158" s="86" t="str">
        <f t="shared" si="82"/>
        <v>1+1.45848274297646j</v>
      </c>
      <c r="AR158" s="86">
        <f t="shared" si="83"/>
        <v>9.9304845780535893E-8</v>
      </c>
      <c r="AS158" s="86" t="str">
        <f t="shared" si="84"/>
        <v>0.0000573417265879965j</v>
      </c>
      <c r="AT158" s="86" t="str">
        <f t="shared" si="85"/>
        <v>9.93048457805359E-08+0.0000573417265879965j</v>
      </c>
      <c r="AU158" s="86" t="str">
        <f t="shared" si="86"/>
        <v>3.81975811908613-2.60928103166649j</v>
      </c>
      <c r="AW158" s="86" t="str">
        <f t="shared" si="100"/>
        <v>0.687403361702503-0.32279402956856j</v>
      </c>
      <c r="AX158" s="86">
        <f t="shared" si="87"/>
        <v>-2.3903546400606901</v>
      </c>
      <c r="AY158" s="86">
        <f t="shared" si="88"/>
        <v>154.84597316483018</v>
      </c>
      <c r="AZ158" s="86" t="str">
        <f t="shared" si="89"/>
        <v>4.58161109846807-3.3003096113011j</v>
      </c>
      <c r="BA158" s="86">
        <f t="shared" si="90"/>
        <v>15.035619550566668</v>
      </c>
      <c r="BB158" s="86">
        <f t="shared" si="91"/>
        <v>144.23335206353258</v>
      </c>
      <c r="BD158" s="86" t="str">
        <f t="shared" si="92"/>
        <v>1.43364986930429-2.68128415898717j</v>
      </c>
      <c r="BE158" s="86">
        <f t="shared" si="93"/>
        <v>9.6588984820838935</v>
      </c>
      <c r="BF158" s="86">
        <f t="shared" si="94"/>
        <v>118.13287126614303</v>
      </c>
      <c r="BH158" s="86">
        <f t="shared" si="101"/>
        <v>-8.6588984820838935</v>
      </c>
      <c r="BI158" s="162">
        <f t="shared" si="102"/>
        <v>-118.13287126614303</v>
      </c>
      <c r="BJ158" s="88"/>
      <c r="BK158" s="88"/>
      <c r="BL158" s="88"/>
      <c r="BM158" s="88"/>
      <c r="BN158" s="42"/>
      <c r="BO158" s="42"/>
      <c r="BP158" s="42"/>
    </row>
    <row r="159" spans="1:68" s="86" customFormat="1">
      <c r="A159" s="86">
        <v>95</v>
      </c>
      <c r="B159" s="86">
        <f t="shared" si="52"/>
        <v>7943.2823472428199</v>
      </c>
      <c r="C159" s="86" t="str">
        <f t="shared" si="53"/>
        <v>49909.1149349751j</v>
      </c>
      <c r="D159" s="86">
        <f t="shared" si="54"/>
        <v>0.99922319809851623</v>
      </c>
      <c r="E159" s="86" t="str">
        <f t="shared" si="55"/>
        <v>-0.0437799253815571j</v>
      </c>
      <c r="F159" s="86" t="str">
        <f t="shared" si="56"/>
        <v>0.999223198098516-0.0437799253815571j</v>
      </c>
      <c r="G159" s="86">
        <f t="shared" si="57"/>
        <v>1.5791614810060062E-3</v>
      </c>
      <c r="H159" s="86">
        <f t="shared" si="58"/>
        <v>-2.5087505026597983</v>
      </c>
      <c r="J159" s="86">
        <f t="shared" si="59"/>
        <v>8.3707025411061284</v>
      </c>
      <c r="K159" s="86" t="str">
        <f t="shared" si="60"/>
        <v>1+2.14270525226191j</v>
      </c>
      <c r="L159" s="86">
        <f t="shared" si="61"/>
        <v>0.70907062581975455</v>
      </c>
      <c r="M159" s="86" t="str">
        <f t="shared" si="62"/>
        <v>0.146993160855199j</v>
      </c>
      <c r="N159" s="86" t="str">
        <f t="shared" si="63"/>
        <v>0.709070625819755+0.146993160855199j</v>
      </c>
      <c r="O159" s="86" t="str">
        <f t="shared" si="64"/>
        <v>1.95281617207354+2.61702369691926j</v>
      </c>
      <c r="P159" s="86" t="str">
        <f t="shared" si="65"/>
        <v>16.3464432938891+21.906326909937j</v>
      </c>
      <c r="R159" s="86">
        <f t="shared" si="66"/>
        <v>11.958146487294469</v>
      </c>
      <c r="S159" s="86" t="str">
        <f t="shared" si="67"/>
        <v>1+0.00374318362012313j</v>
      </c>
      <c r="T159" s="86" t="str">
        <f t="shared" si="68"/>
        <v>0.709070625819755+0.146993160855199j</v>
      </c>
      <c r="U159" s="86" t="str">
        <f t="shared" si="69"/>
        <v>1.35323587955092-0.275252180235351j</v>
      </c>
      <c r="V159" s="86" t="str">
        <f t="shared" si="70"/>
        <v>16.1821928795327-3.29150589220151j</v>
      </c>
      <c r="X159" s="86" t="str">
        <f t="shared" si="71"/>
        <v>0.715757736157768+0.876388521081999j</v>
      </c>
      <c r="Y159" s="86">
        <f t="shared" si="72"/>
        <v>1.0733412509071263</v>
      </c>
      <c r="Z159" s="86">
        <f t="shared" si="73"/>
        <v>-129.23895327880464</v>
      </c>
      <c r="AB159" s="86" t="str">
        <f t="shared" si="74"/>
        <v>7.52571956359949-1.53075361732799j</v>
      </c>
      <c r="AC159" s="86">
        <f t="shared" si="75"/>
        <v>17.707022763310622</v>
      </c>
      <c r="AD159" s="86">
        <f t="shared" si="76"/>
        <v>168.50271473474561</v>
      </c>
      <c r="AF159" s="86" t="str">
        <f t="shared" si="77"/>
        <v>3.11722688920175-2.48441571371157j</v>
      </c>
      <c r="AG159" s="86">
        <f t="shared" si="78"/>
        <v>12.011081791606124</v>
      </c>
      <c r="AH159" s="86">
        <f t="shared" si="79"/>
        <v>141.44531326616448</v>
      </c>
      <c r="AJ159" s="86" t="str">
        <f t="shared" si="80"/>
        <v>98994.5528544673-24382.5050981876j</v>
      </c>
      <c r="AK159" s="86" t="str">
        <f t="shared" si="81"/>
        <v>20000-0.00001996364597399j</v>
      </c>
      <c r="AL159" s="86" t="str">
        <f t="shared" si="95"/>
        <v>10000-445253.782824536j</v>
      </c>
      <c r="AM159" s="86" t="str">
        <f t="shared" si="96"/>
        <v>962.908108593204-138197.122980828j</v>
      </c>
      <c r="AN159" s="86" t="str">
        <f t="shared" si="97"/>
        <v>10962.9081085932-138197.122980828j</v>
      </c>
      <c r="AO159" s="86" t="str">
        <f t="shared" si="98"/>
        <v>19382.5062122606-2756.06750040183j</v>
      </c>
      <c r="AP159" s="86" t="str">
        <f t="shared" si="99"/>
        <v>0.161302504910935+0.033051589650561j</v>
      </c>
      <c r="AQ159" s="86" t="str">
        <f t="shared" si="82"/>
        <v>1+1.52721891701024j</v>
      </c>
      <c r="AR159" s="86">
        <f t="shared" si="83"/>
        <v>9.9237778555400675E-8</v>
      </c>
      <c r="AS159" s="86" t="str">
        <f t="shared" si="84"/>
        <v>0.0000600441589048205j</v>
      </c>
      <c r="AT159" s="86" t="str">
        <f t="shared" si="85"/>
        <v>9.92377785554007E-08+0.0000600441589048205j</v>
      </c>
      <c r="AU159" s="86" t="str">
        <f t="shared" si="86"/>
        <v>3.81935774087826-2.49184896834777j</v>
      </c>
      <c r="AW159" s="86" t="str">
        <f t="shared" si="100"/>
        <v>0.688068625826417-0.299594949496981j</v>
      </c>
      <c r="AX159" s="86">
        <f t="shared" si="87"/>
        <v>-2.4934077178101273</v>
      </c>
      <c r="AY159" s="86">
        <f t="shared" si="88"/>
        <v>156.47100007352461</v>
      </c>
      <c r="AZ159" s="86" t="str">
        <f t="shared" si="89"/>
        <v>4.71960546580518-3.30793111053872j</v>
      </c>
      <c r="BA159" s="86">
        <f t="shared" si="90"/>
        <v>15.213615045500488</v>
      </c>
      <c r="BB159" s="86">
        <f t="shared" si="91"/>
        <v>144.97371480827019</v>
      </c>
      <c r="BD159" s="86" t="str">
        <f t="shared" si="92"/>
        <v>1.40054762176328-2.64335393855611j</v>
      </c>
      <c r="BE159" s="86">
        <f t="shared" si="93"/>
        <v>9.5176740737960035</v>
      </c>
      <c r="BF159" s="86">
        <f t="shared" si="94"/>
        <v>117.91631333968905</v>
      </c>
      <c r="BH159" s="86">
        <f t="shared" si="101"/>
        <v>-8.5176740737960035</v>
      </c>
      <c r="BI159" s="162">
        <f t="shared" si="102"/>
        <v>-117.91631333968905</v>
      </c>
      <c r="BJ159" s="88"/>
      <c r="BK159" s="88"/>
      <c r="BL159" s="88"/>
      <c r="BM159" s="88"/>
      <c r="BN159" s="42"/>
      <c r="BO159" s="42"/>
      <c r="BP159" s="42"/>
    </row>
    <row r="160" spans="1:68" s="86" customFormat="1">
      <c r="A160" s="86">
        <v>96</v>
      </c>
      <c r="B160" s="86">
        <f t="shared" si="52"/>
        <v>8317.6377110267131</v>
      </c>
      <c r="C160" s="86" t="str">
        <f t="shared" si="53"/>
        <v>52261.2590563659j</v>
      </c>
      <c r="D160" s="86">
        <f t="shared" si="54"/>
        <v>0.99914825365230042</v>
      </c>
      <c r="E160" s="86" t="str">
        <f t="shared" si="55"/>
        <v>-0.0458432096985666j</v>
      </c>
      <c r="F160" s="86" t="str">
        <f t="shared" si="56"/>
        <v>0.9991482536523-0.0458432096985666j</v>
      </c>
      <c r="G160" s="86">
        <f t="shared" si="57"/>
        <v>1.7317628804231319E-3</v>
      </c>
      <c r="H160" s="86">
        <f t="shared" si="58"/>
        <v>-2.6270191386980071</v>
      </c>
      <c r="J160" s="86">
        <f t="shared" si="59"/>
        <v>8.3707025411061284</v>
      </c>
      <c r="K160" s="86" t="str">
        <f t="shared" si="60"/>
        <v>1+2.24368783970205j</v>
      </c>
      <c r="L160" s="86">
        <f t="shared" si="61"/>
        <v>0.68100228459377821</v>
      </c>
      <c r="M160" s="86" t="str">
        <f t="shared" si="62"/>
        <v>0.153920735099717j</v>
      </c>
      <c r="N160" s="86" t="str">
        <f t="shared" si="63"/>
        <v>0.681002284593778+0.153920735099717j</v>
      </c>
      <c r="O160" s="86" t="str">
        <f t="shared" si="64"/>
        <v>2.10552950171355+2.81879111781426j</v>
      </c>
      <c r="P160" s="86" t="str">
        <f t="shared" si="65"/>
        <v>17.6247611503675+23.5952619727352j</v>
      </c>
      <c r="R160" s="86">
        <f t="shared" si="66"/>
        <v>11.958146487294469</v>
      </c>
      <c r="S160" s="86" t="str">
        <f t="shared" si="67"/>
        <v>1+0.00391959442922744j</v>
      </c>
      <c r="T160" s="86" t="str">
        <f t="shared" si="68"/>
        <v>0.681002284593778+0.153920735099717j</v>
      </c>
      <c r="U160" s="86" t="str">
        <f t="shared" si="69"/>
        <v>1.39829236875304-0.310287644599623j</v>
      </c>
      <c r="V160" s="86" t="str">
        <f t="shared" si="70"/>
        <v>16.7209849776148-3.71046510731986j</v>
      </c>
      <c r="X160" s="86" t="str">
        <f t="shared" si="71"/>
        <v>0.773647695418617+0.942345324874789j</v>
      </c>
      <c r="Y160" s="86">
        <f t="shared" si="72"/>
        <v>1.7217819720958549</v>
      </c>
      <c r="Z160" s="86">
        <f t="shared" si="73"/>
        <v>-129.38534835203518</v>
      </c>
      <c r="AB160" s="86" t="str">
        <f t="shared" si="74"/>
        <v>7.77629118040291-1.72559553925035j</v>
      </c>
      <c r="AC160" s="86">
        <f t="shared" si="75"/>
        <v>18.02420568635619</v>
      </c>
      <c r="AD160" s="86">
        <f t="shared" si="76"/>
        <v>167.48853016931452</v>
      </c>
      <c r="AF160" s="86" t="str">
        <f t="shared" si="77"/>
        <v>3.01605702057284-2.57534953753308j</v>
      </c>
      <c r="AG160" s="86">
        <f t="shared" si="78"/>
        <v>11.967018080058336</v>
      </c>
      <c r="AH160" s="86">
        <f t="shared" si="79"/>
        <v>139.50666277590875</v>
      </c>
      <c r="AJ160" s="86" t="str">
        <f t="shared" si="80"/>
        <v>98451.2941990514-25391.5056944685j</v>
      </c>
      <c r="AK160" s="86" t="str">
        <f t="shared" si="81"/>
        <v>20000-0.0000209045036225464j</v>
      </c>
      <c r="AL160" s="86" t="str">
        <f t="shared" si="95"/>
        <v>10000-425214.06149543j</v>
      </c>
      <c r="AM160" s="86" t="str">
        <f t="shared" si="96"/>
        <v>962.88582688156-131978.601658263j</v>
      </c>
      <c r="AN160" s="86" t="str">
        <f t="shared" si="97"/>
        <v>10962.8858268816-131978.601658263j</v>
      </c>
      <c r="AO160" s="86" t="str">
        <f t="shared" si="98"/>
        <v>19326.0532368986-2872.68285355295j</v>
      </c>
      <c r="AP160" s="86" t="str">
        <f t="shared" si="99"/>
        <v>0.161427954614343+0.0346040863379557j</v>
      </c>
      <c r="AQ160" s="86" t="str">
        <f t="shared" si="82"/>
        <v>1+1.5991945271248j</v>
      </c>
      <c r="AR160" s="86">
        <f t="shared" si="83"/>
        <v>9.9164240805364085E-8</v>
      </c>
      <c r="AS160" s="86" t="str">
        <f t="shared" si="84"/>
        <v>0.0000628739529329421j</v>
      </c>
      <c r="AT160" s="86" t="str">
        <f t="shared" si="85"/>
        <v>9.91642408053641E-08+0.0000628739529329421j</v>
      </c>
      <c r="AU160" s="86" t="str">
        <f t="shared" si="86"/>
        <v>3.81899259141601-2.37970233331135j</v>
      </c>
      <c r="AW160" s="86" t="str">
        <f t="shared" si="100"/>
        <v>0.688809468948989-0.277039359267792j</v>
      </c>
      <c r="AX160" s="86">
        <f t="shared" si="87"/>
        <v>-2.5868347063911084</v>
      </c>
      <c r="AY160" s="86">
        <f t="shared" si="88"/>
        <v>158.08999494171391</v>
      </c>
      <c r="AZ160" s="86" t="str">
        <f t="shared" si="89"/>
        <v>4.87832511581676-3.34294527311038j</v>
      </c>
      <c r="BA160" s="86">
        <f t="shared" si="90"/>
        <v>15.437370979965085</v>
      </c>
      <c r="BB160" s="86">
        <f t="shared" si="91"/>
        <v>145.57852511102845</v>
      </c>
      <c r="BD160" s="86" t="str">
        <f t="shared" si="92"/>
        <v>1.36401544889188-2.60949165180081j</v>
      </c>
      <c r="BE160" s="86">
        <f t="shared" si="93"/>
        <v>9.380183373667224</v>
      </c>
      <c r="BF160" s="86">
        <f t="shared" si="94"/>
        <v>117.59665771762269</v>
      </c>
      <c r="BH160" s="86">
        <f t="shared" si="101"/>
        <v>-8.380183373667224</v>
      </c>
      <c r="BI160" s="162">
        <f t="shared" si="102"/>
        <v>-117.59665771762269</v>
      </c>
      <c r="BJ160" s="88"/>
      <c r="BK160" s="88"/>
      <c r="BL160" s="88"/>
      <c r="BM160" s="88"/>
      <c r="BN160" s="42"/>
      <c r="BO160" s="42"/>
      <c r="BP160" s="42"/>
    </row>
    <row r="161" spans="1:68" s="86" customFormat="1">
      <c r="A161" s="86">
        <v>97</v>
      </c>
      <c r="B161" s="86">
        <f t="shared" si="52"/>
        <v>8709.635899560808</v>
      </c>
      <c r="C161" s="86" t="str">
        <f t="shared" si="53"/>
        <v>54724.2563150043j</v>
      </c>
      <c r="D161" s="86">
        <f t="shared" si="54"/>
        <v>0.99906607870110287</v>
      </c>
      <c r="E161" s="86" t="str">
        <f t="shared" si="55"/>
        <v>-0.0480037336096529j</v>
      </c>
      <c r="F161" s="86" t="str">
        <f t="shared" si="56"/>
        <v>0.999066078701103-0.0480037336096529j</v>
      </c>
      <c r="G161" s="86">
        <f t="shared" si="57"/>
        <v>1.8991368732655231E-3</v>
      </c>
      <c r="H161" s="86">
        <f t="shared" si="58"/>
        <v>-2.7508667606984702</v>
      </c>
      <c r="J161" s="86">
        <f t="shared" si="59"/>
        <v>8.3707025411061284</v>
      </c>
      <c r="K161" s="86" t="str">
        <f t="shared" si="60"/>
        <v>1+2.34942958986667j</v>
      </c>
      <c r="L161" s="86">
        <f t="shared" si="61"/>
        <v>0.65022596043758973</v>
      </c>
      <c r="M161" s="86" t="str">
        <f t="shared" si="62"/>
        <v>0.161174795859893j</v>
      </c>
      <c r="N161" s="86" t="str">
        <f t="shared" si="63"/>
        <v>0.65022596043759+0.161174795859893j</v>
      </c>
      <c r="O161" s="86" t="str">
        <f t="shared" si="64"/>
        <v>2.29269389639379+3.04494935547289j</v>
      </c>
      <c r="P161" s="86" t="str">
        <f t="shared" si="65"/>
        <v>19.191458624522+25.4883653073964j</v>
      </c>
      <c r="R161" s="86">
        <f t="shared" si="66"/>
        <v>11.958146487294469</v>
      </c>
      <c r="S161" s="86" t="str">
        <f t="shared" si="67"/>
        <v>1+0.00410431922362532j</v>
      </c>
      <c r="T161" s="86" t="str">
        <f t="shared" si="68"/>
        <v>0.65022596043759+0.161174795859893j</v>
      </c>
      <c r="U161" s="86" t="str">
        <f t="shared" si="69"/>
        <v>1.4503773801306-0.353200230246379j</v>
      </c>
      <c r="V161" s="86" t="str">
        <f t="shared" si="70"/>
        <v>17.3438251734601-4.22362009263233j</v>
      </c>
      <c r="X161" s="86" t="str">
        <f t="shared" si="71"/>
        <v>0.844244992404614+1.01585941843279j</v>
      </c>
      <c r="Y161" s="86">
        <f t="shared" si="72"/>
        <v>2.4172573082544315</v>
      </c>
      <c r="Z161" s="86">
        <f t="shared" si="73"/>
        <v>-129.72877709596537</v>
      </c>
      <c r="AB161" s="86" t="str">
        <f t="shared" si="74"/>
        <v>8.06595035587829-1.96424431453526j</v>
      </c>
      <c r="AC161" s="86">
        <f t="shared" si="75"/>
        <v>18.383314739140562</v>
      </c>
      <c r="AD161" s="86">
        <f t="shared" si="76"/>
        <v>166.31356112972696</v>
      </c>
      <c r="AF161" s="86" t="str">
        <f t="shared" si="77"/>
        <v>2.90538743054734-2.6654319357233j</v>
      </c>
      <c r="AG161" s="86">
        <f t="shared" si="78"/>
        <v>11.916131746066991</v>
      </c>
      <c r="AH161" s="86">
        <f t="shared" si="79"/>
        <v>137.46641346698124</v>
      </c>
      <c r="AJ161" s="86" t="str">
        <f t="shared" si="80"/>
        <v>97862.4351216059-26429.1407321179j</v>
      </c>
      <c r="AK161" s="86" t="str">
        <f t="shared" si="81"/>
        <v>20000-0.0000218897025260018j</v>
      </c>
      <c r="AL161" s="86" t="str">
        <f t="shared" si="95"/>
        <v>10000-406076.2762002j</v>
      </c>
      <c r="AM161" s="86" t="str">
        <f t="shared" si="96"/>
        <v>962.861396655759-126040.02457471j</v>
      </c>
      <c r="AN161" s="86" t="str">
        <f t="shared" si="97"/>
        <v>10962.8613966558-126040.02457471j</v>
      </c>
      <c r="AO161" s="86" t="str">
        <f t="shared" si="98"/>
        <v>19264.7490898351-2992.97411233569j</v>
      </c>
      <c r="AP161" s="86" t="str">
        <f t="shared" si="99"/>
        <v>0.161565464351461+0.036228984850313j</v>
      </c>
      <c r="AQ161" s="86" t="str">
        <f t="shared" si="82"/>
        <v>1+1.67456224323913j</v>
      </c>
      <c r="AR161" s="86">
        <f t="shared" si="83"/>
        <v>9.9083608265855528E-8</v>
      </c>
      <c r="AS161" s="86" t="str">
        <f t="shared" si="84"/>
        <v>0.0000658371110448922j</v>
      </c>
      <c r="AT161" s="86" t="str">
        <f t="shared" si="85"/>
        <v>9.90836082658555E-08+0.0000658371110448922j</v>
      </c>
      <c r="AU161" s="86" t="str">
        <f t="shared" si="86"/>
        <v>3.81865957098211-2.27260326366607j</v>
      </c>
      <c r="AW161" s="86" t="str">
        <f t="shared" si="100"/>
        <v>0.689632059055284-0.255080601039043j</v>
      </c>
      <c r="AX161" s="86">
        <f t="shared" si="87"/>
        <v>-2.6707697293961004</v>
      </c>
      <c r="AY161" s="86">
        <f t="shared" si="88"/>
        <v>159.70161101042169</v>
      </c>
      <c r="AZ161" s="86" t="str">
        <f t="shared" si="89"/>
        <v>5.06149733182287-3.4120733158491j</v>
      </c>
      <c r="BA161" s="86">
        <f t="shared" si="90"/>
        <v>15.712545009744463</v>
      </c>
      <c r="BB161" s="86">
        <f t="shared" si="91"/>
        <v>146.01517214014865</v>
      </c>
      <c r="BD161" s="86" t="str">
        <f t="shared" si="92"/>
        <v>1.32374833588875-2.57927528613987j</v>
      </c>
      <c r="BE161" s="86">
        <f t="shared" si="93"/>
        <v>9.2453620166709101</v>
      </c>
      <c r="BF161" s="86">
        <f t="shared" si="94"/>
        <v>117.16802447740298</v>
      </c>
      <c r="BH161" s="86">
        <f t="shared" si="101"/>
        <v>-8.2453620166709101</v>
      </c>
      <c r="BI161" s="162">
        <f t="shared" si="102"/>
        <v>-117.16802447740298</v>
      </c>
      <c r="BJ161" s="88"/>
      <c r="BK161" s="88"/>
      <c r="BL161" s="88"/>
      <c r="BM161" s="88"/>
      <c r="BN161" s="42"/>
      <c r="BO161" s="42"/>
      <c r="BP161" s="42"/>
    </row>
    <row r="162" spans="1:68" s="86" customFormat="1">
      <c r="A162" s="86">
        <v>98</v>
      </c>
      <c r="B162" s="86">
        <f t="shared" si="52"/>
        <v>9120.1083935590977</v>
      </c>
      <c r="C162" s="86" t="str">
        <f t="shared" si="53"/>
        <v>57303.3310582957j</v>
      </c>
      <c r="D162" s="86">
        <f t="shared" si="54"/>
        <v>0.99897597565884555</v>
      </c>
      <c r="E162" s="86" t="str">
        <f t="shared" si="55"/>
        <v>-0.050266079875698j</v>
      </c>
      <c r="F162" s="86" t="str">
        <f t="shared" si="56"/>
        <v>0.998975975658846-0.050266079875698j</v>
      </c>
      <c r="G162" s="86">
        <f t="shared" si="57"/>
        <v>2.0827187755520166E-3</v>
      </c>
      <c r="H162" s="86">
        <f t="shared" si="58"/>
        <v>-2.8805570598810641</v>
      </c>
      <c r="J162" s="86">
        <f t="shared" si="59"/>
        <v>8.3707025411061284</v>
      </c>
      <c r="K162" s="86" t="str">
        <f t="shared" si="60"/>
        <v>1+2.4601547951849j</v>
      </c>
      <c r="L162" s="86">
        <f t="shared" si="61"/>
        <v>0.6164803920428934</v>
      </c>
      <c r="M162" s="86" t="str">
        <f t="shared" si="62"/>
        <v>0.16877072997117j</v>
      </c>
      <c r="N162" s="86" t="str">
        <f t="shared" si="63"/>
        <v>0.616480392042893+0.16877072997117j</v>
      </c>
      <c r="O162" s="86" t="str">
        <f t="shared" si="64"/>
        <v>2.52534303138207+3.29929521620442j</v>
      </c>
      <c r="P162" s="86" t="str">
        <f t="shared" si="65"/>
        <v>21.1388953299545+27.6174188501416j</v>
      </c>
      <c r="R162" s="86">
        <f t="shared" si="66"/>
        <v>11.958146487294469</v>
      </c>
      <c r="S162" s="86" t="str">
        <f t="shared" si="67"/>
        <v>1+0.00429774982937218j</v>
      </c>
      <c r="T162" s="86" t="str">
        <f t="shared" si="68"/>
        <v>0.616480392042893+0.16877072997117j</v>
      </c>
      <c r="U162" s="86" t="str">
        <f t="shared" si="69"/>
        <v>1.51079053972682-0.406630082042286j</v>
      </c>
      <c r="V162" s="86" t="str">
        <f t="shared" si="70"/>
        <v>18.066254585672-4.86254208720222j</v>
      </c>
      <c r="X162" s="86" t="str">
        <f t="shared" si="71"/>
        <v>0.931512553563391+1.09794791347834j</v>
      </c>
      <c r="Y162" s="86">
        <f t="shared" si="72"/>
        <v>3.1664230164634155</v>
      </c>
      <c r="Z162" s="86">
        <f t="shared" si="73"/>
        <v>-130.3116844556038</v>
      </c>
      <c r="AB162" s="86" t="str">
        <f t="shared" si="74"/>
        <v>8.40192467043978-2.26138252008898j</v>
      </c>
      <c r="AC162" s="86">
        <f t="shared" si="75"/>
        <v>18.791313850355785</v>
      </c>
      <c r="AD162" s="86">
        <f t="shared" si="76"/>
        <v>164.93579831017635</v>
      </c>
      <c r="AF162" s="86" t="str">
        <f t="shared" si="77"/>
        <v>2.78462343496166-2.75367302196178j</v>
      </c>
      <c r="AG162" s="86">
        <f t="shared" si="78"/>
        <v>11.857359657694476</v>
      </c>
      <c r="AH162" s="86">
        <f t="shared" si="79"/>
        <v>135.32019043987836</v>
      </c>
      <c r="AJ162" s="86" t="str">
        <f t="shared" si="80"/>
        <v>97224.8076247732-27494.3918450113j</v>
      </c>
      <c r="AK162" s="86" t="str">
        <f t="shared" si="81"/>
        <v>20000-0.0000229213324233182j</v>
      </c>
      <c r="AL162" s="86" t="str">
        <f t="shared" si="95"/>
        <v>10000-387799.833130383j</v>
      </c>
      <c r="AM162" s="86" t="str">
        <f t="shared" si="96"/>
        <v>962.834610870668-120368.795201641j</v>
      </c>
      <c r="AN162" s="86" t="str">
        <f t="shared" si="97"/>
        <v>10962.8346108707-120368.795201641j</v>
      </c>
      <c r="AO162" s="86" t="str">
        <f t="shared" si="98"/>
        <v>19198.2353754819-3116.88005677284j</v>
      </c>
      <c r="AP162" s="86" t="str">
        <f t="shared" si="99"/>
        <v>0.161716188955031+0.037929584511063j</v>
      </c>
      <c r="AQ162" s="86" t="str">
        <f t="shared" si="82"/>
        <v>1+1.75348193038385j</v>
      </c>
      <c r="AR162" s="86">
        <f t="shared" si="83"/>
        <v>9.8995196444384749E-8</v>
      </c>
      <c r="AS162" s="86" t="str">
        <f t="shared" si="84"/>
        <v>0.0000689399184963038j</v>
      </c>
      <c r="AT162" s="86" t="str">
        <f t="shared" si="85"/>
        <v>9.89951964443847E-08+0.0000689399184963038j</v>
      </c>
      <c r="AU162" s="86" t="str">
        <f t="shared" si="86"/>
        <v>3.81835585259544-2.17032460112785j</v>
      </c>
      <c r="AW162" s="86" t="str">
        <f t="shared" si="100"/>
        <v>0.690543233715958-0.233673456320348j</v>
      </c>
      <c r="AX162" s="86">
        <f t="shared" si="87"/>
        <v>-2.7453493944364653</v>
      </c>
      <c r="AY162" s="86">
        <f t="shared" si="88"/>
        <v>161.30465527384678</v>
      </c>
      <c r="AZ162" s="86" t="str">
        <f t="shared" si="89"/>
        <v>5.27346716183176-3.52488917557585j</v>
      </c>
      <c r="BA162" s="86">
        <f t="shared" si="90"/>
        <v>16.045964455919314</v>
      </c>
      <c r="BB162" s="86">
        <f t="shared" si="91"/>
        <v>146.24045358402313</v>
      </c>
      <c r="BD162" s="86" t="str">
        <f t="shared" si="92"/>
        <v>1.27944257884175-2.55222285578001j</v>
      </c>
      <c r="BE162" s="86">
        <f t="shared" si="93"/>
        <v>9.1120102632579929</v>
      </c>
      <c r="BF162" s="86">
        <f t="shared" si="94"/>
        <v>116.62484571372502</v>
      </c>
      <c r="BH162" s="86">
        <f t="shared" si="101"/>
        <v>-8.1120102632579929</v>
      </c>
      <c r="BI162" s="162">
        <f t="shared" si="102"/>
        <v>-116.62484571372502</v>
      </c>
      <c r="BJ162" s="88"/>
      <c r="BK162" s="88"/>
      <c r="BL162" s="88"/>
      <c r="BM162" s="88"/>
      <c r="BN162" s="42"/>
      <c r="BO162" s="42"/>
      <c r="BP162" s="42"/>
    </row>
    <row r="163" spans="1:68" s="86" customFormat="1">
      <c r="A163" s="86">
        <v>99</v>
      </c>
      <c r="B163" s="86">
        <f t="shared" si="52"/>
        <v>9549.9258602143655</v>
      </c>
      <c r="C163" s="86" t="str">
        <f t="shared" si="53"/>
        <v>60003.9538495533j</v>
      </c>
      <c r="D163" s="86">
        <f t="shared" si="54"/>
        <v>0.99887717963760425</v>
      </c>
      <c r="E163" s="86" t="str">
        <f t="shared" si="55"/>
        <v>-0.0526350472364503j</v>
      </c>
      <c r="F163" s="86" t="str">
        <f t="shared" si="56"/>
        <v>0.998877179637604-0.0526350472364503j</v>
      </c>
      <c r="G163" s="86">
        <f t="shared" si="57"/>
        <v>2.2840844170887828E-3</v>
      </c>
      <c r="H163" s="86">
        <f t="shared" si="58"/>
        <v>-3.0163662671057758</v>
      </c>
      <c r="J163" s="86">
        <f t="shared" si="59"/>
        <v>8.3707025411061284</v>
      </c>
      <c r="K163" s="86" t="str">
        <f t="shared" si="60"/>
        <v>1+2.57609831866243j</v>
      </c>
      <c r="L163" s="86">
        <f t="shared" si="61"/>
        <v>0.57947911208164948</v>
      </c>
      <c r="M163" s="86" t="str">
        <f t="shared" si="62"/>
        <v>0.176724649428202j</v>
      </c>
      <c r="N163" s="86" t="str">
        <f t="shared" si="63"/>
        <v>0.579479112081649+0.176724649428202j</v>
      </c>
      <c r="O163" s="86" t="str">
        <f t="shared" si="64"/>
        <v>2.81924046845245+3.58575312189786j</v>
      </c>
      <c r="P163" s="86" t="str">
        <f t="shared" si="65"/>
        <v>23.5990233532642+30.0152727692497j</v>
      </c>
      <c r="R163" s="86">
        <f t="shared" si="66"/>
        <v>11.958146487294469</v>
      </c>
      <c r="S163" s="86" t="str">
        <f t="shared" si="67"/>
        <v>1+0.0045002965387165j</v>
      </c>
      <c r="T163" s="86" t="str">
        <f t="shared" si="68"/>
        <v>0.579479112081649+0.176724649428202j</v>
      </c>
      <c r="U163" s="86" t="str">
        <f t="shared" si="69"/>
        <v>1.581010140219-0.474397023986578j</v>
      </c>
      <c r="V163" s="86" t="str">
        <f t="shared" si="70"/>
        <v>18.9059508546368-5.67290910596805j</v>
      </c>
      <c r="X163" s="86" t="str">
        <f t="shared" si="71"/>
        <v>1.04106961306908+1.18953957334209j</v>
      </c>
      <c r="Y163" s="86">
        <f t="shared" si="72"/>
        <v>3.9773676964141624</v>
      </c>
      <c r="Z163" s="86">
        <f t="shared" si="73"/>
        <v>-131.19199404461969</v>
      </c>
      <c r="AB163" s="86" t="str">
        <f t="shared" si="74"/>
        <v>8.79243531914318-2.63825325523733j</v>
      </c>
      <c r="AC163" s="86">
        <f t="shared" si="75"/>
        <v>19.256590742177579</v>
      </c>
      <c r="AD163" s="86">
        <f t="shared" si="76"/>
        <v>163.29763113534187</v>
      </c>
      <c r="AF163" s="86" t="str">
        <f t="shared" si="77"/>
        <v>2.65324254841941-2.838898892598j</v>
      </c>
      <c r="AG163" s="86">
        <f t="shared" si="78"/>
        <v>11.789494202940343</v>
      </c>
      <c r="AH163" s="86">
        <f t="shared" si="79"/>
        <v>133.06391076096287</v>
      </c>
      <c r="AJ163" s="86" t="str">
        <f t="shared" si="80"/>
        <v>96535.1453444198-28585.9401541356j</v>
      </c>
      <c r="AK163" s="86" t="str">
        <f t="shared" si="81"/>
        <v>20000-0.0000240015815398214j</v>
      </c>
      <c r="AL163" s="86" t="str">
        <f t="shared" si="95"/>
        <v>10000-370345.965499866j</v>
      </c>
      <c r="AM163" s="86" t="str">
        <f t="shared" si="96"/>
        <v>962.805242554199-114952.88408934j</v>
      </c>
      <c r="AN163" s="86" t="str">
        <f t="shared" si="97"/>
        <v>10962.8052425542-114952.88408934j</v>
      </c>
      <c r="AO163" s="86" t="str">
        <f t="shared" si="98"/>
        <v>19126.1381652521-3244.30997827888j</v>
      </c>
      <c r="AP163" s="86" t="str">
        <f t="shared" si="99"/>
        <v>0.161881392922876+0.039709323538136j</v>
      </c>
      <c r="AQ163" s="86" t="str">
        <f t="shared" si="82"/>
        <v>1+1.83612098779633j</v>
      </c>
      <c r="AR163" s="86">
        <f t="shared" si="83"/>
        <v>9.8898254809860719E-8</v>
      </c>
      <c r="AS163" s="86" t="str">
        <f t="shared" si="84"/>
        <v>0.0000721889567577821j</v>
      </c>
      <c r="AT163" s="86" t="str">
        <f t="shared" si="85"/>
        <v>9.88982548098607E-08+0.0000721889567577821j</v>
      </c>
      <c r="AU163" s="86" t="str">
        <f t="shared" si="86"/>
        <v>3.818078858014-2.0726494104389j</v>
      </c>
      <c r="AW163" s="86" t="str">
        <f t="shared" si="100"/>
        <v>0.69155055324183-0.212774075425109j</v>
      </c>
      <c r="AX163" s="86">
        <f t="shared" si="87"/>
        <v>-2.8107089104921124</v>
      </c>
      <c r="AY163" s="86">
        <f t="shared" si="88"/>
        <v>162.89808164224218</v>
      </c>
      <c r="AZ163" s="86" t="str">
        <f t="shared" si="89"/>
        <v>5.51906161217607-3.6952877940172j</v>
      </c>
      <c r="BA163" s="86">
        <f t="shared" si="90"/>
        <v>16.445881831685472</v>
      </c>
      <c r="BB163" s="86">
        <f t="shared" si="91"/>
        <v>146.19571277758405</v>
      </c>
      <c r="BD163" s="86" t="str">
        <f t="shared" si="92"/>
        <v>1.2308072651463-2.52778332989227j</v>
      </c>
      <c r="BE163" s="86">
        <f t="shared" si="93"/>
        <v>8.9787852924482401</v>
      </c>
      <c r="BF163" s="86">
        <f t="shared" si="94"/>
        <v>115.96199240320496</v>
      </c>
      <c r="BH163" s="86">
        <f t="shared" si="101"/>
        <v>-7.9787852924482401</v>
      </c>
      <c r="BI163" s="162">
        <f t="shared" si="102"/>
        <v>-115.96199240320496</v>
      </c>
      <c r="BJ163" s="88"/>
      <c r="BK163" s="88"/>
      <c r="BL163" s="88"/>
      <c r="BM163" s="88"/>
      <c r="BN163" s="42"/>
      <c r="BO163" s="42"/>
      <c r="BP163" s="42"/>
    </row>
    <row r="164" spans="1:68" s="86" customFormat="1">
      <c r="A164" s="86">
        <v>100</v>
      </c>
      <c r="B164" s="86">
        <f t="shared" si="52"/>
        <v>10000</v>
      </c>
      <c r="C164" s="86" t="str">
        <f t="shared" si="53"/>
        <v>62831.8530717959j</v>
      </c>
      <c r="D164" s="86">
        <f t="shared" si="54"/>
        <v>0.99876885195444753</v>
      </c>
      <c r="E164" s="86" t="str">
        <f t="shared" si="55"/>
        <v>-0.0551156605892947j</v>
      </c>
      <c r="F164" s="86" t="str">
        <f t="shared" si="56"/>
        <v>0.998768851954448-0.0551156605892947j</v>
      </c>
      <c r="G164" s="86">
        <f t="shared" si="57"/>
        <v>2.504964109340728E-3</v>
      </c>
      <c r="H164" s="86">
        <f t="shared" si="58"/>
        <v>-3.158583760324873</v>
      </c>
      <c r="J164" s="86">
        <f t="shared" si="59"/>
        <v>8.3707025411061284</v>
      </c>
      <c r="K164" s="86" t="str">
        <f t="shared" si="60"/>
        <v>1+2.69750609205735j</v>
      </c>
      <c r="L164" s="86">
        <f t="shared" si="61"/>
        <v>0.53890801537475652</v>
      </c>
      <c r="M164" s="86" t="str">
        <f t="shared" si="62"/>
        <v>0.185053425560558j</v>
      </c>
      <c r="N164" s="86" t="str">
        <f t="shared" si="63"/>
        <v>0.538908015374757+0.185053425560558j</v>
      </c>
      <c r="O164" s="86" t="str">
        <f t="shared" si="64"/>
        <v>3.19740526534206+3.9075597963338j</v>
      </c>
      <c r="P164" s="86" t="str">
        <f t="shared" si="65"/>
        <v>26.7645283795449+32.7090207166955j</v>
      </c>
      <c r="R164" s="86">
        <f t="shared" si="66"/>
        <v>11.958146487294469</v>
      </c>
      <c r="S164" s="86" t="str">
        <f t="shared" si="67"/>
        <v>1+0.00471238898038469j</v>
      </c>
      <c r="T164" s="86" t="str">
        <f t="shared" si="68"/>
        <v>0.538908015374757+0.185053425560558j</v>
      </c>
      <c r="U164" s="86" t="str">
        <f t="shared" si="69"/>
        <v>1.66256715945743-0.562157827418892j</v>
      </c>
      <c r="V164" s="86" t="str">
        <f t="shared" si="70"/>
        <v>19.881221637757-6.72236564925431j</v>
      </c>
      <c r="X164" s="86" t="str">
        <f t="shared" si="71"/>
        <v>1.18105126216592+1.29111894053732j</v>
      </c>
      <c r="Y164" s="86">
        <f t="shared" si="72"/>
        <v>4.8598677632226845</v>
      </c>
      <c r="Z164" s="86">
        <f t="shared" si="73"/>
        <v>-132.45072108373148</v>
      </c>
      <c r="AB164" s="86" t="str">
        <f t="shared" si="74"/>
        <v>9.2459964938847-3.12631539228837j</v>
      </c>
      <c r="AC164" s="86">
        <f t="shared" si="75"/>
        <v>19.78921058732216</v>
      </c>
      <c r="AD164" s="86">
        <f t="shared" si="76"/>
        <v>161.31824799651127</v>
      </c>
      <c r="AF164" s="86" t="str">
        <f t="shared" si="77"/>
        <v>2.51083682821022-2.91974080951464j</v>
      </c>
      <c r="AG164" s="86">
        <f t="shared" si="78"/>
        <v>11.711173702693698</v>
      </c>
      <c r="AH164" s="86">
        <f t="shared" si="79"/>
        <v>130.69394870692392</v>
      </c>
      <c r="AJ164" s="86" t="str">
        <f t="shared" si="80"/>
        <v>95790.1045916205-29702.1353516302j</v>
      </c>
      <c r="AK164" s="86" t="str">
        <f t="shared" si="81"/>
        <v>20000-0.0000251327412287184j</v>
      </c>
      <c r="AL164" s="86" t="str">
        <f t="shared" si="95"/>
        <v>10000-353677.651315322j</v>
      </c>
      <c r="AM164" s="86" t="str">
        <f t="shared" si="96"/>
        <v>962.773042894666-109780.803350595j</v>
      </c>
      <c r="AN164" s="86" t="str">
        <f t="shared" si="97"/>
        <v>10962.7730428947-109780.803350595j</v>
      </c>
      <c r="AO164" s="86" t="str">
        <f t="shared" si="98"/>
        <v>19048.0694751576-3375.14012078833j</v>
      </c>
      <c r="AP164" s="86" t="str">
        <f t="shared" si="99"/>
        <v>0.162062460646592+0.0415717831628246j</v>
      </c>
      <c r="AQ164" s="86" t="str">
        <f t="shared" si="82"/>
        <v>1+1.92265470399695j</v>
      </c>
      <c r="AR164" s="86">
        <f t="shared" si="83"/>
        <v>9.879196042130666E-8</v>
      </c>
      <c r="AS164" s="86" t="str">
        <f t="shared" si="84"/>
        <v>0.0000755911174750855j</v>
      </c>
      <c r="AT164" s="86" t="str">
        <f t="shared" si="85"/>
        <v>9.87919604213067E-08+0.0000755911174750855j</v>
      </c>
      <c r="AU164" s="86" t="str">
        <f t="shared" si="86"/>
        <v>3.81782623584943-1.9793705194387j</v>
      </c>
      <c r="AW164" s="86" t="str">
        <f t="shared" si="100"/>
        <v>0.692662358997041-0.192339913468267j</v>
      </c>
      <c r="AX164" s="86">
        <f t="shared" si="87"/>
        <v>-2.8669784389685065</v>
      </c>
      <c r="AY164" s="86">
        <f t="shared" si="88"/>
        <v>164.48098029059722</v>
      </c>
      <c r="AZ164" s="86" t="str">
        <f t="shared" si="89"/>
        <v>5.80303851070529-3.94385516015291j</v>
      </c>
      <c r="BA164" s="86">
        <f t="shared" si="90"/>
        <v>16.922232148353658</v>
      </c>
      <c r="BB164" s="86">
        <f t="shared" si="91"/>
        <v>145.79922828710846</v>
      </c>
      <c r="BD164" s="86" t="str">
        <f t="shared" si="92"/>
        <v>1.17757946583293-2.50532869504923j</v>
      </c>
      <c r="BE164" s="86">
        <f t="shared" si="93"/>
        <v>8.8441952637251884</v>
      </c>
      <c r="BF164" s="86">
        <f t="shared" si="94"/>
        <v>115.17492899752123</v>
      </c>
      <c r="BH164" s="86">
        <f t="shared" si="101"/>
        <v>-7.8441952637251884</v>
      </c>
      <c r="BI164" s="162">
        <f t="shared" si="102"/>
        <v>-115.17492899752123</v>
      </c>
      <c r="BJ164" s="88"/>
      <c r="BK164" s="88"/>
      <c r="BL164" s="88"/>
      <c r="BM164" s="88"/>
      <c r="BN164" s="42"/>
      <c r="BO164" s="42"/>
      <c r="BP164" s="42"/>
    </row>
    <row r="165" spans="1:68" s="86" customFormat="1">
      <c r="A165" s="86">
        <v>101</v>
      </c>
      <c r="B165" s="86">
        <f t="shared" si="52"/>
        <v>10471.285480508997</v>
      </c>
      <c r="C165" s="86" t="str">
        <f t="shared" si="53"/>
        <v>65793.0270784171j</v>
      </c>
      <c r="D165" s="86">
        <f t="shared" si="54"/>
        <v>0.9986500730118274</v>
      </c>
      <c r="E165" s="86" t="str">
        <f t="shared" si="55"/>
        <v>-0.0577131816477343j</v>
      </c>
      <c r="F165" s="86" t="str">
        <f t="shared" si="56"/>
        <v>0.998650073011827-0.0577131816477343j</v>
      </c>
      <c r="G165" s="86">
        <f t="shared" si="57"/>
        <v>2.7472580436779092E-3</v>
      </c>
      <c r="H165" s="86">
        <f t="shared" si="58"/>
        <v>-3.3075127030648006</v>
      </c>
      <c r="J165" s="86">
        <f t="shared" si="59"/>
        <v>8.3707025411061284</v>
      </c>
      <c r="K165" s="86" t="str">
        <f t="shared" si="60"/>
        <v>1+2.82463563753447j</v>
      </c>
      <c r="L165" s="86">
        <f t="shared" si="61"/>
        <v>0.49442269244203141</v>
      </c>
      <c r="M165" s="86" t="str">
        <f t="shared" si="62"/>
        <v>0.193774724819072j</v>
      </c>
      <c r="N165" s="86" t="str">
        <f t="shared" si="63"/>
        <v>0.494422692442031+0.193774724819072j</v>
      </c>
      <c r="O165" s="86" t="str">
        <f t="shared" si="64"/>
        <v>3.69417255945864+4.26517309708323j</v>
      </c>
      <c r="P165" s="86" t="str">
        <f t="shared" si="65"/>
        <v>30.922819630745+35.7024952820121j</v>
      </c>
      <c r="R165" s="86">
        <f t="shared" si="66"/>
        <v>11.958146487294469</v>
      </c>
      <c r="S165" s="86" t="str">
        <f t="shared" si="67"/>
        <v>1+0.00493447703088128j</v>
      </c>
      <c r="T165" s="86" t="str">
        <f t="shared" si="68"/>
        <v>0.494422692442031+0.193774724819072j</v>
      </c>
      <c r="U165" s="86" t="str">
        <f t="shared" si="69"/>
        <v>1.7566474406631-0.67848705675472j</v>
      </c>
      <c r="V165" s="86" t="str">
        <f t="shared" si="70"/>
        <v>21.0062474219803-8.11344761440622j</v>
      </c>
      <c r="X165" s="86" t="str">
        <f t="shared" si="71"/>
        <v>1.36346846811912+1.40188152254708j</v>
      </c>
      <c r="Y165" s="86">
        <f t="shared" si="72"/>
        <v>5.8255400518297122</v>
      </c>
      <c r="Z165" s="86">
        <f t="shared" si="73"/>
        <v>-134.20416426069914</v>
      </c>
      <c r="AB165" s="86" t="str">
        <f t="shared" si="74"/>
        <v>9.76920299728708-3.77325445905449j</v>
      </c>
      <c r="AC165" s="86">
        <f t="shared" si="75"/>
        <v>20.401067577171421</v>
      </c>
      <c r="AD165" s="86">
        <f t="shared" si="76"/>
        <v>158.88145764115941</v>
      </c>
      <c r="AF165" s="86" t="str">
        <f t="shared" si="77"/>
        <v>2.3571641441762-2.99463242850799j</v>
      </c>
      <c r="AG165" s="86">
        <f t="shared" si="78"/>
        <v>11.620876212395412</v>
      </c>
      <c r="AH165" s="86">
        <f t="shared" si="79"/>
        <v>128.20733450305613</v>
      </c>
      <c r="AJ165" s="86" t="str">
        <f t="shared" si="80"/>
        <v>94986.2907093152-30840.9646697953j</v>
      </c>
      <c r="AK165" s="86" t="str">
        <f t="shared" si="81"/>
        <v>20000-0.0000263172108313668j</v>
      </c>
      <c r="AL165" s="86" t="str">
        <f t="shared" si="95"/>
        <v>10000-337759.534847608j</v>
      </c>
      <c r="AM165" s="86" t="str">
        <f t="shared" si="96"/>
        <v>962.737739145414-104841.582293095j</v>
      </c>
      <c r="AN165" s="86" t="str">
        <f t="shared" si="97"/>
        <v>10962.7377391454-104841.582293095j</v>
      </c>
      <c r="AO165" s="86" t="str">
        <f t="shared" si="98"/>
        <v>18963.6292567545-3509.20998230092j</v>
      </c>
      <c r="AP165" s="86" t="str">
        <f t="shared" si="99"/>
        <v>0.162260907556761+0.0435206915914075j</v>
      </c>
      <c r="AQ165" s="86" t="str">
        <f t="shared" si="82"/>
        <v>1+2.01326662859956j</v>
      </c>
      <c r="AR165" s="86">
        <f t="shared" si="83"/>
        <v>9.8675410941884749E-8</v>
      </c>
      <c r="AS165" s="86" t="str">
        <f t="shared" si="84"/>
        <v>0.0000791536170872313j</v>
      </c>
      <c r="AT165" s="86" t="str">
        <f t="shared" si="85"/>
        <v>9.86754109418847E-08+0.0000791536170872313j</v>
      </c>
      <c r="AU165" s="86" t="str">
        <f t="shared" si="86"/>
        <v>3.8175958416069-1.89029007981564j</v>
      </c>
      <c r="AW165" s="86" t="str">
        <f t="shared" si="100"/>
        <v>0.693887837171795-0.17232967328797j</v>
      </c>
      <c r="AX165" s="86">
        <f t="shared" si="87"/>
        <v>-2.914279756445981</v>
      </c>
      <c r="AY165" s="86">
        <f t="shared" si="88"/>
        <v>166.05256352826217</v>
      </c>
      <c r="AZ165" s="86" t="str">
        <f t="shared" si="89"/>
        <v>6.12848743051851-4.30173893649849j</v>
      </c>
      <c r="BA165" s="86">
        <f t="shared" si="90"/>
        <v>17.486787820725436</v>
      </c>
      <c r="BB165" s="86">
        <f t="shared" si="91"/>
        <v>144.93402116942158</v>
      </c>
      <c r="BD165" s="86" t="str">
        <f t="shared" si="92"/>
        <v>1.11954350183899-2.48414834579393j</v>
      </c>
      <c r="BE165" s="86">
        <f t="shared" si="93"/>
        <v>8.7065964559494304</v>
      </c>
      <c r="BF165" s="86">
        <f t="shared" si="94"/>
        <v>114.25989803131837</v>
      </c>
      <c r="BH165" s="86">
        <f t="shared" si="101"/>
        <v>-7.7065964559494304</v>
      </c>
      <c r="BI165" s="162">
        <f t="shared" si="102"/>
        <v>-114.25989803131837</v>
      </c>
      <c r="BJ165" s="88"/>
      <c r="BK165" s="88"/>
      <c r="BL165" s="88"/>
      <c r="BM165" s="88"/>
      <c r="BN165" s="42"/>
      <c r="BO165" s="42"/>
      <c r="BP165" s="42"/>
    </row>
    <row r="166" spans="1:68" s="86" customFormat="1">
      <c r="A166" s="86">
        <v>102</v>
      </c>
      <c r="B166" s="86">
        <f t="shared" si="52"/>
        <v>10964.781961431861</v>
      </c>
      <c r="C166" s="86" t="str">
        <f t="shared" si="53"/>
        <v>68893.7569164964j</v>
      </c>
      <c r="D166" s="86">
        <f t="shared" si="54"/>
        <v>0.9985198344910835</v>
      </c>
      <c r="E166" s="86" t="str">
        <f t="shared" si="55"/>
        <v>-0.0604331201021898j</v>
      </c>
      <c r="F166" s="86" t="str">
        <f t="shared" si="56"/>
        <v>0.998519834491084-0.0604331201021898j</v>
      </c>
      <c r="G166" s="86">
        <f t="shared" si="57"/>
        <v>3.0130532751488546E-3</v>
      </c>
      <c r="H166" s="86">
        <f t="shared" si="58"/>
        <v>-3.4634707157454119</v>
      </c>
      <c r="J166" s="86">
        <f t="shared" si="59"/>
        <v>8.3707025411061284</v>
      </c>
      <c r="K166" s="86" t="str">
        <f t="shared" si="60"/>
        <v>1+2.9577566139043j</v>
      </c>
      <c r="L166" s="86">
        <f t="shared" si="61"/>
        <v>0.44564550579791173</v>
      </c>
      <c r="M166" s="86" t="str">
        <f t="shared" si="62"/>
        <v>0.202907046248757j</v>
      </c>
      <c r="N166" s="86" t="str">
        <f t="shared" si="63"/>
        <v>0.445645505797912+0.202907046248757j</v>
      </c>
      <c r="O166" s="86" t="str">
        <f t="shared" si="64"/>
        <v>4.36163819423471+4.65111723138594j</v>
      </c>
      <c r="P166" s="86" t="str">
        <f t="shared" si="65"/>
        <v>36.509975915866+38.9331188277448j</v>
      </c>
      <c r="R166" s="86">
        <f t="shared" si="66"/>
        <v>11.958146487294469</v>
      </c>
      <c r="S166" s="86" t="str">
        <f t="shared" si="67"/>
        <v>1+0.00516703176873723j</v>
      </c>
      <c r="T166" s="86" t="str">
        <f t="shared" si="68"/>
        <v>0.445645505797912+0.202907046248757j</v>
      </c>
      <c r="U166" s="86" t="str">
        <f t="shared" si="69"/>
        <v>1.86300088817348-0.836649244205395j</v>
      </c>
      <c r="V166" s="86" t="str">
        <f t="shared" si="70"/>
        <v>22.2780375267382-10.0047742206923j</v>
      </c>
      <c r="X166" s="86" t="str">
        <f t="shared" si="71"/>
        <v>1.60631498196928+1.51775150958524j</v>
      </c>
      <c r="Y166" s="86">
        <f t="shared" si="72"/>
        <v>6.887594237154274</v>
      </c>
      <c r="Z166" s="86">
        <f t="shared" si="73"/>
        <v>-136.6238305189423</v>
      </c>
      <c r="AB166" s="86" t="str">
        <f t="shared" si="74"/>
        <v>10.3606639780961-4.65283819335085j</v>
      </c>
      <c r="AC166" s="86">
        <f t="shared" si="75"/>
        <v>21.105636562945428</v>
      </c>
      <c r="AD166" s="86">
        <f t="shared" si="76"/>
        <v>155.81577748298372</v>
      </c>
      <c r="AF166" s="86" t="str">
        <f t="shared" si="77"/>
        <v>2.19220764047873-3.06181896824388j</v>
      </c>
      <c r="AG166" s="86">
        <f t="shared" si="78"/>
        <v>11.516918422975532</v>
      </c>
      <c r="AH166" s="86">
        <f t="shared" si="79"/>
        <v>125.60198632429896</v>
      </c>
      <c r="AJ166" s="86" t="str">
        <f t="shared" si="80"/>
        <v>94120.2902689758-32000.022467589j</v>
      </c>
      <c r="AK166" s="86" t="str">
        <f t="shared" si="81"/>
        <v>20000-0.0000275575027665986j</v>
      </c>
      <c r="AL166" s="86" t="str">
        <f t="shared" si="95"/>
        <v>10000-322557.851637514j</v>
      </c>
      <c r="AM166" s="86" t="str">
        <f t="shared" si="96"/>
        <v>962.699032329839-100124.744148817j</v>
      </c>
      <c r="AN166" s="86" t="str">
        <f t="shared" si="97"/>
        <v>10962.6990323298-100124.744148817j</v>
      </c>
      <c r="AO166" s="86" t="str">
        <f t="shared" si="98"/>
        <v>18872.4079703492-3646.31853111892j</v>
      </c>
      <c r="AP166" s="86" t="str">
        <f t="shared" si="99"/>
        <v>0.162478392259172+0.0455599277521703j</v>
      </c>
      <c r="AQ166" s="86" t="str">
        <f t="shared" si="82"/>
        <v>1+2.10814896164479j</v>
      </c>
      <c r="AR166" s="86">
        <f t="shared" si="83"/>
        <v>9.854761697892679E-8</v>
      </c>
      <c r="AS166" s="86" t="str">
        <f t="shared" si="84"/>
        <v>0.0000828840121335293j</v>
      </c>
      <c r="AT166" s="86" t="str">
        <f t="shared" si="85"/>
        <v>9.85476169789268E-08+0.0000828840121335293j</v>
      </c>
      <c r="AU166" s="86" t="str">
        <f t="shared" si="86"/>
        <v>3.81738571948119-1.80521914761084j</v>
      </c>
      <c r="AW166" s="86" t="str">
        <f t="shared" si="100"/>
        <v>0.695237088324473-0.15270325575345j</v>
      </c>
      <c r="AX166" s="86">
        <f t="shared" si="87"/>
        <v>-2.9527232958599834</v>
      </c>
      <c r="AY166" s="86">
        <f t="shared" si="88"/>
        <v>167.61214857931259</v>
      </c>
      <c r="AZ166" s="86" t="str">
        <f t="shared" si="89"/>
        <v>6.49261431662109-4.81693279921291j</v>
      </c>
      <c r="BA166" s="86">
        <f t="shared" si="90"/>
        <v>18.152913267085424</v>
      </c>
      <c r="BB166" s="86">
        <f t="shared" si="91"/>
        <v>143.42792606229625</v>
      </c>
      <c r="BD166" s="86" t="str">
        <f t="shared" si="92"/>
        <v>1.05655433199058-2.4634473484472j</v>
      </c>
      <c r="BE166" s="86">
        <f t="shared" si="93"/>
        <v>8.5641951271155197</v>
      </c>
      <c r="BF166" s="86">
        <f t="shared" si="94"/>
        <v>113.21413490361151</v>
      </c>
      <c r="BH166" s="86">
        <f t="shared" si="101"/>
        <v>-7.5641951271155197</v>
      </c>
      <c r="BI166" s="162">
        <f t="shared" si="102"/>
        <v>-113.21413490361151</v>
      </c>
      <c r="BJ166" s="88"/>
      <c r="BK166" s="88"/>
      <c r="BL166" s="88"/>
      <c r="BM166" s="88"/>
      <c r="BN166" s="42"/>
      <c r="BO166" s="42"/>
      <c r="BP166" s="42"/>
    </row>
    <row r="167" spans="1:68" s="86" customFormat="1">
      <c r="A167" s="86">
        <v>103</v>
      </c>
      <c r="B167" s="86">
        <f t="shared" si="52"/>
        <v>11481.536214968835</v>
      </c>
      <c r="C167" s="86" t="str">
        <f t="shared" si="53"/>
        <v>72140.6196497425j</v>
      </c>
      <c r="D167" s="86">
        <f t="shared" si="54"/>
        <v>0.99837703079278994</v>
      </c>
      <c r="E167" s="86" t="str">
        <f t="shared" si="55"/>
        <v>-0.0632812453067917j</v>
      </c>
      <c r="F167" s="86" t="str">
        <f t="shared" si="56"/>
        <v>0.99837703079279-0.0632812453067917j</v>
      </c>
      <c r="G167" s="86">
        <f t="shared" si="57"/>
        <v>3.3046424642298447E-3</v>
      </c>
      <c r="H167" s="86">
        <f t="shared" si="58"/>
        <v>-3.6267905817783137</v>
      </c>
      <c r="J167" s="86">
        <f t="shared" si="59"/>
        <v>8.3707025411061284</v>
      </c>
      <c r="K167" s="86" t="str">
        <f t="shared" si="60"/>
        <v>1+3.09715138860555j</v>
      </c>
      <c r="L167" s="86">
        <f t="shared" si="61"/>
        <v>0.3921623841734263</v>
      </c>
      <c r="M167" s="86" t="str">
        <f t="shared" si="62"/>
        <v>0.212469760727758j</v>
      </c>
      <c r="N167" s="86" t="str">
        <f t="shared" si="63"/>
        <v>0.392162384173426+0.212469760727758j</v>
      </c>
      <c r="O167" s="86" t="str">
        <f t="shared" si="64"/>
        <v>5.27918565748123+5.0374134665845j</v>
      </c>
      <c r="P167" s="86" t="str">
        <f t="shared" si="65"/>
        <v>44.1904927980492+42.1666897053411j</v>
      </c>
      <c r="R167" s="86">
        <f t="shared" si="66"/>
        <v>11.958146487294469</v>
      </c>
      <c r="S167" s="86" t="str">
        <f t="shared" si="67"/>
        <v>1+0.00541054647373069j</v>
      </c>
      <c r="T167" s="86" t="str">
        <f t="shared" si="68"/>
        <v>0.392162384173426+0.212469760727758j</v>
      </c>
      <c r="U167" s="86" t="str">
        <f t="shared" si="69"/>
        <v>1.97709043679361-1.05737164578633j</v>
      </c>
      <c r="V167" s="86" t="str">
        <f t="shared" si="70"/>
        <v>23.642337061807-12.6442050318246j</v>
      </c>
      <c r="X167" s="86" t="str">
        <f t="shared" si="71"/>
        <v>1.93654281604194+1.6267221576825j</v>
      </c>
      <c r="Y167" s="86">
        <f t="shared" si="72"/>
        <v>8.059371800736324</v>
      </c>
      <c r="Z167" s="86">
        <f t="shared" si="73"/>
        <v>-139.96928638123296</v>
      </c>
      <c r="AB167" s="86" t="str">
        <f t="shared" si="74"/>
        <v>10.9951475600254-5.88033660719247j</v>
      </c>
      <c r="AC167" s="86">
        <f t="shared" si="75"/>
        <v>21.916511475846853</v>
      </c>
      <c r="AD167" s="86">
        <f t="shared" si="76"/>
        <v>151.86159504208541</v>
      </c>
      <c r="AF167" s="86" t="str">
        <f t="shared" si="77"/>
        <v>2.0162412002805-3.11938269480702j</v>
      </c>
      <c r="AG167" s="86">
        <f t="shared" si="78"/>
        <v>11.397461648499396</v>
      </c>
      <c r="AH167" s="86">
        <f t="shared" si="79"/>
        <v>122.87697202020452</v>
      </c>
      <c r="AJ167" s="86" t="str">
        <f t="shared" si="80"/>
        <v>93188.7095694067-33176.4813320591j</v>
      </c>
      <c r="AK167" s="86" t="str">
        <f t="shared" si="81"/>
        <v>20000-0.000028856247859897j</v>
      </c>
      <c r="AL167" s="86" t="str">
        <f t="shared" si="95"/>
        <v>10000-308040.356876829j</v>
      </c>
      <c r="AM167" s="86" t="str">
        <f t="shared" si="96"/>
        <v>962.656594727669-95620.2838510599j</v>
      </c>
      <c r="AN167" s="86" t="str">
        <f t="shared" si="97"/>
        <v>10962.6565947277-95620.2838510599j</v>
      </c>
      <c r="AO167" s="86" t="str">
        <f t="shared" si="98"/>
        <v>18773.9898086317-3786.22040776341j</v>
      </c>
      <c r="AP167" s="86" t="str">
        <f t="shared" si="99"/>
        <v>0.162716729740961+0.0476935247609089j</v>
      </c>
      <c r="AQ167" s="86" t="str">
        <f t="shared" si="82"/>
        <v>1+2.20750296128212j</v>
      </c>
      <c r="AR167" s="86">
        <f t="shared" si="83"/>
        <v>9.840749368494466E-8</v>
      </c>
      <c r="AS167" s="86" t="str">
        <f t="shared" si="84"/>
        <v>0.0000867902152820157j</v>
      </c>
      <c r="AT167" s="86" t="str">
        <f t="shared" si="85"/>
        <v>9.84074936849447E-08+0.0000867902152820157j</v>
      </c>
      <c r="AU167" s="86" t="str">
        <f t="shared" si="86"/>
        <v>3.81719408575446-1.72397728258794j</v>
      </c>
      <c r="AW167" s="86" t="str">
        <f t="shared" si="100"/>
        <v>0.696721203006495-0.133421718014837j</v>
      </c>
      <c r="AX167" s="86">
        <f t="shared" si="87"/>
        <v>-2.9824056215852863</v>
      </c>
      <c r="AY167" s="86">
        <f t="shared" si="88"/>
        <v>169.15913770193092</v>
      </c>
      <c r="AZ167" s="86" t="str">
        <f t="shared" si="89"/>
        <v>6.87598782261766-5.5639466723315j</v>
      </c>
      <c r="BA167" s="86">
        <f t="shared" si="90"/>
        <v>18.93410585426156</v>
      </c>
      <c r="BB167" s="86">
        <f t="shared" si="91"/>
        <v>141.0207327440163</v>
      </c>
      <c r="BD167" s="86" t="str">
        <f t="shared" si="92"/>
        <v>0.988564596323779-2.44235042863731j</v>
      </c>
      <c r="BE167" s="86">
        <f t="shared" si="93"/>
        <v>8.415056026914101</v>
      </c>
      <c r="BF167" s="86">
        <f t="shared" si="94"/>
        <v>112.03610972213531</v>
      </c>
      <c r="BH167" s="86">
        <f t="shared" si="101"/>
        <v>-7.415056026914101</v>
      </c>
      <c r="BI167" s="162">
        <f t="shared" si="102"/>
        <v>-112.03610972213531</v>
      </c>
      <c r="BJ167" s="88"/>
      <c r="BK167" s="88"/>
      <c r="BL167" s="88"/>
      <c r="BM167" s="88"/>
      <c r="BN167" s="42"/>
      <c r="BO167" s="42"/>
      <c r="BP167" s="42"/>
    </row>
    <row r="168" spans="1:68" s="86" customFormat="1">
      <c r="A168" s="86">
        <v>104</v>
      </c>
      <c r="B168" s="86">
        <f t="shared" si="52"/>
        <v>12022.644346174135</v>
      </c>
      <c r="C168" s="86" t="str">
        <f t="shared" si="53"/>
        <v>75540.502309327j</v>
      </c>
      <c r="D168" s="86">
        <f t="shared" si="54"/>
        <v>0.99822044965128232</v>
      </c>
      <c r="E168" s="86" t="str">
        <f t="shared" si="55"/>
        <v>-0.0662635985169535j</v>
      </c>
      <c r="F168" s="86" t="str">
        <f t="shared" si="56"/>
        <v>0.998220449651282-0.0662635985169535j</v>
      </c>
      <c r="G168" s="86">
        <f t="shared" si="57"/>
        <v>3.6245445708345944E-3</v>
      </c>
      <c r="H168" s="86">
        <f t="shared" si="58"/>
        <v>-3.797820990532129</v>
      </c>
      <c r="J168" s="86">
        <f t="shared" si="59"/>
        <v>8.3707025411061284</v>
      </c>
      <c r="K168" s="86" t="str">
        <f t="shared" si="60"/>
        <v>1+3.24311563664436j</v>
      </c>
      <c r="L168" s="86">
        <f t="shared" si="61"/>
        <v>0.33351930745050429</v>
      </c>
      <c r="M168" s="86" t="str">
        <f t="shared" si="62"/>
        <v>0.222483152055579j</v>
      </c>
      <c r="N168" s="86" t="str">
        <f t="shared" si="63"/>
        <v>0.333519307450504+0.222483152055579j</v>
      </c>
      <c r="O168" s="86" t="str">
        <f t="shared" si="64"/>
        <v>6.56400435080851+5.34522355601411j</v>
      </c>
      <c r="P168" s="86" t="str">
        <f t="shared" si="65"/>
        <v>54.9453278991445+44.7432764031077j</v>
      </c>
      <c r="R168" s="86">
        <f t="shared" si="66"/>
        <v>11.958146487294469</v>
      </c>
      <c r="S168" s="86" t="str">
        <f t="shared" si="67"/>
        <v>1+0.00566553767319952j</v>
      </c>
      <c r="T168" s="86" t="str">
        <f t="shared" si="68"/>
        <v>0.333519307450504+0.222483152055579j</v>
      </c>
      <c r="U168" s="86" t="str">
        <f t="shared" si="69"/>
        <v>2.08282031910906-1.37241497527252j</v>
      </c>
      <c r="V168" s="86" t="str">
        <f t="shared" si="70"/>
        <v>24.9066704826195-16.4115393156654j</v>
      </c>
      <c r="X168" s="86" t="str">
        <f t="shared" si="71"/>
        <v>2.39288411258754+1.69795327343843j</v>
      </c>
      <c r="Y168" s="86">
        <f t="shared" si="72"/>
        <v>9.349496656298049</v>
      </c>
      <c r="Z168" s="86">
        <f t="shared" si="73"/>
        <v>-144.64108216457919</v>
      </c>
      <c r="AB168" s="86" t="str">
        <f t="shared" si="74"/>
        <v>11.5831407220619-7.63237982739036j</v>
      </c>
      <c r="AC168" s="86">
        <f t="shared" si="75"/>
        <v>22.84255561243604</v>
      </c>
      <c r="AD168" s="86">
        <f t="shared" si="76"/>
        <v>146.61825601541031</v>
      </c>
      <c r="AF168" s="86" t="str">
        <f t="shared" si="77"/>
        <v>1.82989679010363-3.16528909206126j</v>
      </c>
      <c r="AG168" s="86">
        <f t="shared" si="78"/>
        <v>11.260527041114518</v>
      </c>
      <c r="AH168" s="86">
        <f t="shared" si="79"/>
        <v>120.03279248494059</v>
      </c>
      <c r="AJ168" s="86" t="str">
        <f t="shared" si="80"/>
        <v>92188.2197978875-34367.0657646906j</v>
      </c>
      <c r="AK168" s="86" t="str">
        <f t="shared" si="81"/>
        <v>20000-0.0000302162009237308j</v>
      </c>
      <c r="AL168" s="86" t="str">
        <f t="shared" si="95"/>
        <v>10000-294176.257012769j</v>
      </c>
      <c r="AM168" s="86" t="str">
        <f t="shared" si="96"/>
        <v>962.610067122313-91318.6468119624j</v>
      </c>
      <c r="AN168" s="86" t="str">
        <f t="shared" si="97"/>
        <v>10962.6100671223-91318.6468119624j</v>
      </c>
      <c r="AO168" s="86" t="str">
        <f t="shared" si="98"/>
        <v>18667.9566350687-3928.62220219338j</v>
      </c>
      <c r="AP168" s="86" t="str">
        <f t="shared" si="99"/>
        <v>0.162977905729883+0.0499256730270734j</v>
      </c>
      <c r="AQ168" s="86" t="str">
        <f t="shared" si="82"/>
        <v>1+2.31153937066541j</v>
      </c>
      <c r="AR168" s="86">
        <f t="shared" si="83"/>
        <v>9.8253851548321487E-8</v>
      </c>
      <c r="AS168" s="86" t="str">
        <f t="shared" si="84"/>
        <v>0.000090880512113282j</v>
      </c>
      <c r="AT168" s="86" t="str">
        <f t="shared" si="85"/>
        <v>9.82538515483215E-08+0.000090880512113282j</v>
      </c>
      <c r="AU168" s="86" t="str">
        <f t="shared" si="86"/>
        <v>3.81701931365487-1.64639216562174j</v>
      </c>
      <c r="AW168" s="86" t="str">
        <f t="shared" si="100"/>
        <v>0.698352343780844-0.114447240354461j</v>
      </c>
      <c r="AX168" s="86">
        <f t="shared" si="87"/>
        <v>-3.0034073830939771</v>
      </c>
      <c r="AY168" s="86">
        <f t="shared" si="88"/>
        <v>170.69299610006078</v>
      </c>
      <c r="AZ168" s="86" t="str">
        <f t="shared" si="89"/>
        <v>7.21560866301339-6.65574883136105j</v>
      </c>
      <c r="BA168" s="86">
        <f t="shared" si="90"/>
        <v>19.839148229342069</v>
      </c>
      <c r="BB168" s="86">
        <f t="shared" si="91"/>
        <v>137.31125211547112</v>
      </c>
      <c r="BD168" s="86" t="str">
        <f t="shared" si="92"/>
        <v>0.915654110735424-2.41991369394577j</v>
      </c>
      <c r="BE168" s="86">
        <f t="shared" si="93"/>
        <v>8.2571196580205513</v>
      </c>
      <c r="BF168" s="86">
        <f t="shared" si="94"/>
        <v>110.72578858500133</v>
      </c>
      <c r="BH168" s="86">
        <f t="shared" si="101"/>
        <v>-7.2571196580205513</v>
      </c>
      <c r="BI168" s="162">
        <f t="shared" si="102"/>
        <v>-110.72578858500133</v>
      </c>
      <c r="BJ168" s="88"/>
      <c r="BK168" s="88"/>
      <c r="BL168" s="88"/>
      <c r="BM168" s="88"/>
      <c r="BN168" s="42"/>
      <c r="BO168" s="42"/>
      <c r="BP168" s="42"/>
    </row>
    <row r="169" spans="1:68" s="86" customFormat="1">
      <c r="A169" s="86">
        <v>105</v>
      </c>
      <c r="B169" s="86">
        <f t="shared" si="52"/>
        <v>12589.254117941677</v>
      </c>
      <c r="C169" s="86" t="str">
        <f t="shared" si="53"/>
        <v>79100.6165022012j</v>
      </c>
      <c r="D169" s="86">
        <f t="shared" si="54"/>
        <v>0.99804876184369207</v>
      </c>
      <c r="E169" s="86" t="str">
        <f t="shared" si="55"/>
        <v>-0.0693865057036853j</v>
      </c>
      <c r="F169" s="86" t="str">
        <f t="shared" si="56"/>
        <v>0.998048761843692-0.0693865057036853j</v>
      </c>
      <c r="G169" s="86">
        <f t="shared" si="57"/>
        <v>3.9755277173594986E-3</v>
      </c>
      <c r="H169" s="86">
        <f t="shared" si="58"/>
        <v>-3.9769273194136616</v>
      </c>
      <c r="J169" s="86">
        <f t="shared" si="59"/>
        <v>8.3707025411061284</v>
      </c>
      <c r="K169" s="86" t="str">
        <f t="shared" si="60"/>
        <v>1+3.39595896776057j</v>
      </c>
      <c r="L169" s="86">
        <f t="shared" si="61"/>
        <v>0.26921845246906806</v>
      </c>
      <c r="M169" s="86" t="str">
        <f t="shared" si="62"/>
        <v>0.232968459977746j</v>
      </c>
      <c r="N169" s="86" t="str">
        <f t="shared" si="63"/>
        <v>0.269218452469068+0.232968459977746j</v>
      </c>
      <c r="O169" s="86" t="str">
        <f t="shared" si="64"/>
        <v>8.36564657096943+5.3749182351086j</v>
      </c>
      <c r="P169" s="86" t="str">
        <f t="shared" si="65"/>
        <v>70.0263390096096+44.9918417288612j</v>
      </c>
      <c r="R169" s="86">
        <f t="shared" si="66"/>
        <v>11.958146487294469</v>
      </c>
      <c r="S169" s="86" t="str">
        <f t="shared" si="67"/>
        <v>1+0.00593254623766509j</v>
      </c>
      <c r="T169" s="86" t="str">
        <f t="shared" si="68"/>
        <v>0.269218452469068+0.232968459977746j</v>
      </c>
      <c r="U169" s="86" t="str">
        <f t="shared" si="69"/>
        <v>2.13486708818289-1.82537321289276j</v>
      </c>
      <c r="V169" s="86" t="str">
        <f t="shared" si="70"/>
        <v>25.5290533713948-21.828080273755j</v>
      </c>
      <c r="X169" s="86" t="str">
        <f t="shared" si="71"/>
        <v>3.02198357462909+1.65748953310182j</v>
      </c>
      <c r="Y169" s="86">
        <f t="shared" si="72"/>
        <v>10.748038750836656</v>
      </c>
      <c r="Z169" s="86">
        <f t="shared" si="73"/>
        <v>-151.25622943637913</v>
      </c>
      <c r="AB169" s="86" t="str">
        <f t="shared" si="74"/>
        <v>11.8725872214934-10.151406053242j</v>
      </c>
      <c r="AC169" s="86">
        <f t="shared" si="75"/>
        <v>23.874065075359823</v>
      </c>
      <c r="AD169" s="86">
        <f t="shared" si="76"/>
        <v>139.46859852047402</v>
      </c>
      <c r="AF169" s="86" t="str">
        <f t="shared" si="77"/>
        <v>1.63422727328613-3.19745727818127j</v>
      </c>
      <c r="AG169" s="86">
        <f t="shared" si="78"/>
        <v>11.104022103722169</v>
      </c>
      <c r="AH169" s="86">
        <f t="shared" si="79"/>
        <v>117.0716729190998</v>
      </c>
      <c r="AJ169" s="86" t="str">
        <f t="shared" si="80"/>
        <v>91115.6090665923-35568.0296954458j</v>
      </c>
      <c r="AK169" s="86" t="str">
        <f t="shared" si="81"/>
        <v>20000-0.0000316402466008804j</v>
      </c>
      <c r="AL169" s="86" t="str">
        <f t="shared" si="95"/>
        <v>10000-280936.144430731j</v>
      </c>
      <c r="AM169" s="86" t="str">
        <f t="shared" si="96"/>
        <v>962.559055786656-87210.7086554885j</v>
      </c>
      <c r="AN169" s="86" t="str">
        <f t="shared" si="97"/>
        <v>10962.5590557867-87210.7086554885j</v>
      </c>
      <c r="AO169" s="86" t="str">
        <f t="shared" si="98"/>
        <v>18553.8926936795-4073.17891614429j</v>
      </c>
      <c r="AP169" s="86" t="str">
        <f t="shared" si="99"/>
        <v>0.163264092294125+0.0522607229103407j</v>
      </c>
      <c r="AQ169" s="86" t="str">
        <f t="shared" si="82"/>
        <v>1+2.42047886496736j</v>
      </c>
      <c r="AR169" s="86">
        <f t="shared" si="83"/>
        <v>9.8085386295505329E-8</v>
      </c>
      <c r="AS169" s="86" t="str">
        <f t="shared" si="84"/>
        <v>0.0000951635786953032j</v>
      </c>
      <c r="AT169" s="86" t="str">
        <f t="shared" si="85"/>
        <v>9.80853862955053E-08+0.0000951635786953032j</v>
      </c>
      <c r="AU169" s="86" t="str">
        <f t="shared" si="86"/>
        <v>3.81685991954713-1.57229923329628j</v>
      </c>
      <c r="AW169" s="86" t="str">
        <f t="shared" si="100"/>
        <v>0.700143833935406-0.0957431024149325j</v>
      </c>
      <c r="AX169" s="86">
        <f t="shared" si="87"/>
        <v>-3.0157917818122031</v>
      </c>
      <c r="AY169" s="86">
        <f t="shared" si="88"/>
        <v>172.21322809515738</v>
      </c>
      <c r="AZ169" s="86" t="str">
        <f t="shared" si="89"/>
        <v>7.34059162657778-8.24416268822961j</v>
      </c>
      <c r="BA169" s="86">
        <f t="shared" si="90"/>
        <v>20.858273293547622</v>
      </c>
      <c r="BB169" s="86">
        <f t="shared" si="91"/>
        <v>131.68182661563134</v>
      </c>
      <c r="BD169" s="86" t="str">
        <f t="shared" si="92"/>
        <v>0.838059668988076-2.39514598678601j</v>
      </c>
      <c r="BE169" s="86">
        <f t="shared" si="93"/>
        <v>8.0882303219099576</v>
      </c>
      <c r="BF169" s="86">
        <f t="shared" si="94"/>
        <v>109.28490101425719</v>
      </c>
      <c r="BH169" s="86">
        <f t="shared" si="101"/>
        <v>-7.0882303219099576</v>
      </c>
      <c r="BI169" s="162">
        <f t="shared" si="102"/>
        <v>-109.28490101425719</v>
      </c>
      <c r="BJ169" s="88"/>
      <c r="BK169" s="88"/>
      <c r="BL169" s="88"/>
      <c r="BM169" s="88"/>
      <c r="BN169" s="42"/>
      <c r="BO169" s="42"/>
      <c r="BP169" s="42"/>
    </row>
    <row r="170" spans="1:68" s="86" customFormat="1">
      <c r="A170" s="86">
        <v>106</v>
      </c>
      <c r="B170" s="86">
        <f t="shared" si="52"/>
        <v>13182.567385564085</v>
      </c>
      <c r="C170" s="86" t="str">
        <f t="shared" si="53"/>
        <v>82828.5137078811j</v>
      </c>
      <c r="D170" s="86">
        <f t="shared" si="54"/>
        <v>0.99786050990612574</v>
      </c>
      <c r="E170" s="86" t="str">
        <f t="shared" si="55"/>
        <v>-0.0726565909718255j</v>
      </c>
      <c r="F170" s="86" t="str">
        <f t="shared" si="56"/>
        <v>0.997860509906126-0.0726565909718255j</v>
      </c>
      <c r="G170" s="86">
        <f t="shared" si="57"/>
        <v>4.3606344650404692E-3</v>
      </c>
      <c r="H170" s="86">
        <f t="shared" si="58"/>
        <v>-4.1644924574898248</v>
      </c>
      <c r="J170" s="86">
        <f t="shared" si="59"/>
        <v>8.3707025411061284</v>
      </c>
      <c r="K170" s="86" t="str">
        <f t="shared" si="60"/>
        <v>1+3.55600558315157j</v>
      </c>
      <c r="L170" s="86">
        <f t="shared" si="61"/>
        <v>0.19871396698855626</v>
      </c>
      <c r="M170" s="86" t="str">
        <f t="shared" si="62"/>
        <v>0.243947925238152j</v>
      </c>
      <c r="N170" s="86" t="str">
        <f t="shared" si="63"/>
        <v>0.198713966988556+0.243947925238152j</v>
      </c>
      <c r="O170" s="86" t="str">
        <f t="shared" si="64"/>
        <v>10.7698738587923+4.67363826658472j</v>
      </c>
      <c r="P170" s="86" t="str">
        <f t="shared" si="65"/>
        <v>90.1514104771852+39.1216357143116j</v>
      </c>
      <c r="R170" s="86">
        <f t="shared" si="66"/>
        <v>11.958146487294469</v>
      </c>
      <c r="S170" s="86" t="str">
        <f t="shared" si="67"/>
        <v>1+0.00621213852809108j</v>
      </c>
      <c r="T170" s="86" t="str">
        <f t="shared" si="68"/>
        <v>0.198713966988556+0.243947925238152j</v>
      </c>
      <c r="U170" s="86" t="str">
        <f t="shared" si="69"/>
        <v>2.02256355987515-2.45170509626935j</v>
      </c>
      <c r="V170" s="86" t="str">
        <f t="shared" si="70"/>
        <v>24.1861113288508-29.3178486848353j</v>
      </c>
      <c r="X170" s="86" t="str">
        <f t="shared" si="71"/>
        <v>3.84107876733127+1.34468796488257j</v>
      </c>
      <c r="Y170" s="86">
        <f t="shared" si="72"/>
        <v>12.191146635841845</v>
      </c>
      <c r="Z170" s="86">
        <f t="shared" si="73"/>
        <v>-160.70582911577651</v>
      </c>
      <c r="AB170" s="86" t="str">
        <f t="shared" si="74"/>
        <v>11.2480361932371-13.6346111465016j</v>
      </c>
      <c r="AC170" s="86">
        <f t="shared" si="75"/>
        <v>24.947401338053623</v>
      </c>
      <c r="AD170" s="86">
        <f t="shared" si="76"/>
        <v>129.52133603454186</v>
      </c>
      <c r="AF170" s="86" t="str">
        <f t="shared" si="77"/>
        <v>1.43075596278386-3.21385629486833j</v>
      </c>
      <c r="AG170" s="86">
        <f t="shared" si="78"/>
        <v>10.925780165372815</v>
      </c>
      <c r="AH170" s="86">
        <f t="shared" si="79"/>
        <v>113.99784184828442</v>
      </c>
      <c r="AJ170" s="86" t="str">
        <f t="shared" si="80"/>
        <v>89967.8413388087-36775.1392303259j</v>
      </c>
      <c r="AK170" s="86" t="str">
        <f t="shared" si="81"/>
        <v>20000-0.0000331314054831524j</v>
      </c>
      <c r="AL170" s="86" t="str">
        <f t="shared" si="95"/>
        <v>10000-268291.935076795j</v>
      </c>
      <c r="AM170" s="86" t="str">
        <f t="shared" si="96"/>
        <v>962.503129183017-83287.7558628901j</v>
      </c>
      <c r="AN170" s="86" t="str">
        <f t="shared" si="97"/>
        <v>10962.503129183-83287.7558628901j</v>
      </c>
      <c r="AO170" s="86" t="str">
        <f t="shared" si="98"/>
        <v>18431.3901343379-4219.49074152204j</v>
      </c>
      <c r="AP170" s="86" t="str">
        <f t="shared" si="99"/>
        <v>0.163577664773789+0.0547031868233358j</v>
      </c>
      <c r="AQ170" s="86" t="str">
        <f t="shared" si="82"/>
        <v>1+2.53455251946116j</v>
      </c>
      <c r="AR170" s="86">
        <f t="shared" si="83"/>
        <v>9.7900667818984663E-8</v>
      </c>
      <c r="AS170" s="86" t="str">
        <f t="shared" si="84"/>
        <v>0.0000996484999865405j</v>
      </c>
      <c r="AT170" s="86" t="str">
        <f t="shared" si="85"/>
        <v>9.79006678189847E-08+0.0000996484999865405j</v>
      </c>
      <c r="AU170" s="86" t="str">
        <f t="shared" si="86"/>
        <v>3.81671455033849-1.50154132893979j</v>
      </c>
      <c r="AW170" s="86" t="str">
        <f t="shared" si="100"/>
        <v>0.702110253172742-0.0772736697074874j</v>
      </c>
      <c r="AX170" s="86">
        <f t="shared" si="87"/>
        <v>-3.0196035766419178</v>
      </c>
      <c r="AY170" s="86">
        <f t="shared" si="88"/>
        <v>173.71935203323997</v>
      </c>
      <c r="AZ170" s="86" t="str">
        <f t="shared" si="89"/>
        <v>6.84376510100509-10.4421773176362j</v>
      </c>
      <c r="BA170" s="86">
        <f t="shared" si="90"/>
        <v>21.927797761411711</v>
      </c>
      <c r="BB170" s="86">
        <f t="shared" si="91"/>
        <v>123.24068806778189</v>
      </c>
      <c r="BD170" s="86" t="str">
        <f t="shared" si="92"/>
        <v>0.756201961441606-2.367041220551j</v>
      </c>
      <c r="BE170" s="86">
        <f t="shared" si="93"/>
        <v>7.9061765887309274</v>
      </c>
      <c r="BF170" s="86">
        <f t="shared" si="94"/>
        <v>107.71719388152444</v>
      </c>
      <c r="BH170" s="86">
        <f t="shared" si="101"/>
        <v>-6.9061765887309274</v>
      </c>
      <c r="BI170" s="162">
        <f t="shared" si="102"/>
        <v>-107.71719388152444</v>
      </c>
      <c r="BJ170" s="88"/>
      <c r="BK170" s="88"/>
      <c r="BL170" s="88"/>
      <c r="BM170" s="88"/>
      <c r="BN170" s="42"/>
      <c r="BO170" s="42"/>
      <c r="BP170" s="42"/>
    </row>
    <row r="171" spans="1:68" s="86" customFormat="1">
      <c r="A171" s="86">
        <v>107</v>
      </c>
      <c r="B171" s="86">
        <f t="shared" si="52"/>
        <v>13803.842646028861</v>
      </c>
      <c r="C171" s="86" t="str">
        <f t="shared" si="53"/>
        <v>86732.1012961475j</v>
      </c>
      <c r="D171" s="86">
        <f t="shared" si="54"/>
        <v>0.99765409576120256</v>
      </c>
      <c r="E171" s="86" t="str">
        <f t="shared" si="55"/>
        <v>-0.0760807906106557j</v>
      </c>
      <c r="F171" s="86" t="str">
        <f t="shared" si="56"/>
        <v>0.997654095761203-0.0760807906106557j</v>
      </c>
      <c r="G171" s="86">
        <f t="shared" si="57"/>
        <v>4.7832097779859483E-3</v>
      </c>
      <c r="H171" s="86">
        <f t="shared" si="58"/>
        <v>-4.3609176732694186</v>
      </c>
      <c r="J171" s="86">
        <f t="shared" si="59"/>
        <v>8.3707025411061284</v>
      </c>
      <c r="K171" s="86" t="str">
        <f t="shared" si="60"/>
        <v>1+3.72359496314639j</v>
      </c>
      <c r="L171" s="86">
        <f t="shared" si="61"/>
        <v>0.12140733592888542</v>
      </c>
      <c r="M171" s="86" t="str">
        <f t="shared" si="62"/>
        <v>0.255444836754655j</v>
      </c>
      <c r="N171" s="86" t="str">
        <f t="shared" si="63"/>
        <v>0.121407335928885+0.255444836754655j</v>
      </c>
      <c r="O171" s="86" t="str">
        <f t="shared" si="64"/>
        <v>13.4086289481869+2.45808812202134j</v>
      </c>
      <c r="P171" s="86" t="str">
        <f t="shared" si="65"/>
        <v>112.239644409337+20.5759244892668j</v>
      </c>
      <c r="R171" s="86">
        <f t="shared" si="66"/>
        <v>11.958146487294469</v>
      </c>
      <c r="S171" s="86" t="str">
        <f t="shared" si="67"/>
        <v>1+0.00650490759721106j</v>
      </c>
      <c r="T171" s="86" t="str">
        <f t="shared" si="68"/>
        <v>0.121407335928885+0.255444836754655j</v>
      </c>
      <c r="U171" s="86" t="str">
        <f t="shared" si="69"/>
        <v>1.53851984828676-3.18351474344675j</v>
      </c>
      <c r="V171" s="86" t="str">
        <f t="shared" si="70"/>
        <v>18.3978457194231-38.0689356465979j</v>
      </c>
      <c r="X171" s="86" t="str">
        <f t="shared" si="71"/>
        <v>4.69955068554798+0.496204803138374j</v>
      </c>
      <c r="Y171" s="86">
        <f t="shared" si="72"/>
        <v>13.489275385249295</v>
      </c>
      <c r="Z171" s="86">
        <f t="shared" si="73"/>
        <v>-173.97272345882749</v>
      </c>
      <c r="AB171" s="86" t="str">
        <f t="shared" si="74"/>
        <v>8.55613503617724-17.7044073009025j</v>
      </c>
      <c r="AC171" s="86">
        <f t="shared" si="75"/>
        <v>25.873219285197642</v>
      </c>
      <c r="AD171" s="86">
        <f t="shared" si="76"/>
        <v>115.79341574550111</v>
      </c>
      <c r="AF171" s="86" t="str">
        <f t="shared" si="77"/>
        <v>1.22150238650118-3.21262563706264j</v>
      </c>
      <c r="AG171" s="86">
        <f t="shared" si="78"/>
        <v>10.723613643895957</v>
      </c>
      <c r="AH171" s="86">
        <f t="shared" si="79"/>
        <v>110.81777153616322</v>
      </c>
      <c r="AJ171" s="86" t="str">
        <f t="shared" si="80"/>
        <v>88742.1220058819-37983.662178768j</v>
      </c>
      <c r="AK171" s="86" t="str">
        <f t="shared" si="81"/>
        <v>20000-0.000034692840518459j</v>
      </c>
      <c r="AL171" s="86" t="str">
        <f t="shared" si="95"/>
        <v>10000-256216.808887683j</v>
      </c>
      <c r="AM171" s="86" t="str">
        <f t="shared" si="96"/>
        <v>962.441814350713-79541.4672895708j</v>
      </c>
      <c r="AN171" s="86" t="str">
        <f t="shared" si="97"/>
        <v>10962.4418143507-79541.4672895708j</v>
      </c>
      <c r="AO171" s="86" t="str">
        <f t="shared" si="98"/>
        <v>18300.0553797458-4367.10030695296j</v>
      </c>
      <c r="AP171" s="86" t="str">
        <f t="shared" si="99"/>
        <v>0.163921220138487+0.0572577406603213j</v>
      </c>
      <c r="AQ171" s="86" t="str">
        <f t="shared" si="82"/>
        <v>1+2.65400229966211j</v>
      </c>
      <c r="AR171" s="86">
        <f t="shared" si="83"/>
        <v>9.7698128037054972E-8</v>
      </c>
      <c r="AS171" s="86" t="str">
        <f t="shared" si="84"/>
        <v>0.000104344789106356j</v>
      </c>
      <c r="AT171" s="86" t="str">
        <f t="shared" si="85"/>
        <v>9.7698128037055E-08+0.000104344789106356j</v>
      </c>
      <c r="AU171" s="86" t="str">
        <f t="shared" si="86"/>
        <v>3.8165819719924-1.43396836935791j</v>
      </c>
      <c r="AW171" s="86" t="str">
        <f t="shared" si="100"/>
        <v>0.704267540526398-0.0590043914463452j</v>
      </c>
      <c r="AX171" s="86">
        <f t="shared" si="87"/>
        <v>-3.0148686452910152</v>
      </c>
      <c r="AY171" s="86">
        <f t="shared" si="88"/>
        <v>175.21087440552364</v>
      </c>
      <c r="AZ171" s="86" t="str">
        <f t="shared" si="89"/>
        <v>4.9811703996323-12.9734889272266j</v>
      </c>
      <c r="BA171" s="86">
        <f t="shared" si="90"/>
        <v>22.858350639906625</v>
      </c>
      <c r="BB171" s="86">
        <f t="shared" si="91"/>
        <v>111.00429015102472</v>
      </c>
      <c r="BD171" s="86" t="str">
        <f t="shared" si="92"/>
        <v>0.670705460828501-2.33462196101192j</v>
      </c>
      <c r="BE171" s="86">
        <f t="shared" si="93"/>
        <v>7.7087449986049439</v>
      </c>
      <c r="BF171" s="86">
        <f t="shared" si="94"/>
        <v>106.02864594168679</v>
      </c>
      <c r="BH171" s="86">
        <f t="shared" si="101"/>
        <v>-6.7087449986049439</v>
      </c>
      <c r="BI171" s="162">
        <f t="shared" si="102"/>
        <v>-106.02864594168679</v>
      </c>
      <c r="BJ171" s="88"/>
      <c r="BK171" s="88"/>
      <c r="BL171" s="88"/>
      <c r="BM171" s="88"/>
      <c r="BN171" s="42"/>
      <c r="BO171" s="42"/>
      <c r="BP171" s="42"/>
    </row>
    <row r="172" spans="1:68" s="86" customFormat="1">
      <c r="A172" s="86">
        <v>108</v>
      </c>
      <c r="B172" s="86">
        <f t="shared" si="52"/>
        <v>14454.397707459284</v>
      </c>
      <c r="C172" s="86" t="str">
        <f t="shared" si="53"/>
        <v>90819.6592996385j</v>
      </c>
      <c r="D172" s="86">
        <f t="shared" si="54"/>
        <v>0.99742776715191872</v>
      </c>
      <c r="E172" s="86" t="str">
        <f t="shared" si="55"/>
        <v>-0.0796663678067004j</v>
      </c>
      <c r="F172" s="86" t="str">
        <f t="shared" si="56"/>
        <v>0.997427767151919-0.0796663678067004j</v>
      </c>
      <c r="G172" s="86">
        <f t="shared" si="57"/>
        <v>5.2469319841957664E-3</v>
      </c>
      <c r="H172" s="86">
        <f t="shared" si="58"/>
        <v>-4.5666235294764892</v>
      </c>
      <c r="J172" s="86">
        <f t="shared" si="59"/>
        <v>8.3707025411061284</v>
      </c>
      <c r="K172" s="86" t="str">
        <f t="shared" si="60"/>
        <v>1+3.89908258728912j</v>
      </c>
      <c r="L172" s="86">
        <f t="shared" si="61"/>
        <v>3.6642300554668661E-2</v>
      </c>
      <c r="M172" s="86" t="str">
        <f t="shared" si="62"/>
        <v>0.267483581018001j</v>
      </c>
      <c r="N172" s="86" t="str">
        <f t="shared" si="63"/>
        <v>0.0366423005546687+0.267483581018001j</v>
      </c>
      <c r="O172" s="86" t="str">
        <f t="shared" si="64"/>
        <v>14.8110993635141-1.70958996375287j</v>
      </c>
      <c r="P172" s="86" t="str">
        <f t="shared" si="65"/>
        <v>123.979307078743-14.3104690538357j</v>
      </c>
      <c r="R172" s="86">
        <f t="shared" si="66"/>
        <v>11.958146487294469</v>
      </c>
      <c r="S172" s="86" t="str">
        <f t="shared" si="67"/>
        <v>1+0.00681147444747289j</v>
      </c>
      <c r="T172" s="86" t="str">
        <f t="shared" si="68"/>
        <v>0.0366423005546687+0.267483581018001j</v>
      </c>
      <c r="U172" s="86" t="str">
        <f t="shared" si="69"/>
        <v>0.527701914341505-3.66625788438741j</v>
      </c>
      <c r="V172" s="86" t="str">
        <f t="shared" si="70"/>
        <v>6.31033679332144-43.841648841703j</v>
      </c>
      <c r="X172" s="86" t="str">
        <f t="shared" si="71"/>
        <v>5.0711780468111-0.99960705650723j</v>
      </c>
      <c r="Y172" s="86">
        <f t="shared" si="72"/>
        <v>14.267724272165175</v>
      </c>
      <c r="Z172" s="86">
        <f t="shared" si="73"/>
        <v>168.84907651335322</v>
      </c>
      <c r="AB172" s="86" t="str">
        <f t="shared" si="74"/>
        <v>2.93469651560427-20.3890756243409j</v>
      </c>
      <c r="AC172" s="86">
        <f t="shared" si="75"/>
        <v>26.277005117723562</v>
      </c>
      <c r="AD172" s="86">
        <f t="shared" si="76"/>
        <v>98.190600734489792</v>
      </c>
      <c r="AF172" s="86" t="str">
        <f t="shared" si="77"/>
        <v>1.00897321682924-3.19221388790455j</v>
      </c>
      <c r="AG172" s="86">
        <f t="shared" si="78"/>
        <v>10.495380595723118</v>
      </c>
      <c r="AH172" s="86">
        <f t="shared" si="79"/>
        <v>107.54034868260717</v>
      </c>
      <c r="AJ172" s="86" t="str">
        <f t="shared" si="80"/>
        <v>87435.9695656975-39188.3660096292j</v>
      </c>
      <c r="AK172" s="86" t="str">
        <f t="shared" si="81"/>
        <v>20000-0.0000363278637198554j</v>
      </c>
      <c r="AL172" s="86" t="str">
        <f t="shared" si="95"/>
        <v>10000-244685.152901809j</v>
      </c>
      <c r="AM172" s="86" t="str">
        <f t="shared" si="96"/>
        <v>962.374592952176-75963.8965141427j</v>
      </c>
      <c r="AN172" s="86" t="str">
        <f t="shared" si="97"/>
        <v>10962.3745929522-75963.8965141427j</v>
      </c>
      <c r="AO172" s="86" t="str">
        <f t="shared" si="98"/>
        <v>18159.516335944-4515.49056456042j</v>
      </c>
      <c r="AP172" s="86" t="str">
        <f t="shared" si="99"/>
        <v>0.164297596867983+0.0599292244136966j</v>
      </c>
      <c r="AQ172" s="86" t="str">
        <f t="shared" si="82"/>
        <v>1+2.77908157456894j</v>
      </c>
      <c r="AR172" s="86">
        <f t="shared" si="83"/>
        <v>9.747604758231746E-8</v>
      </c>
      <c r="AS172" s="86" t="str">
        <f t="shared" si="84"/>
        <v>0.000109262407513616j</v>
      </c>
      <c r="AT172" s="86" t="str">
        <f t="shared" si="85"/>
        <v>9.74760475823175E-08+0.000109262407513616j</v>
      </c>
      <c r="AU172" s="86" t="str">
        <f t="shared" si="86"/>
        <v>3.81646105905307-1.3694370265598j</v>
      </c>
      <c r="AW172" s="86" t="str">
        <f t="shared" si="100"/>
        <v>0.706633104707707-0.04090181091178j</v>
      </c>
      <c r="AX172" s="86">
        <f t="shared" si="87"/>
        <v>-3.0015941108857254</v>
      </c>
      <c r="AY172" s="86">
        <f t="shared" si="88"/>
        <v>176.68726366203353</v>
      </c>
      <c r="AZ172" s="86" t="str">
        <f t="shared" si="89"/>
        <v>1.23980359434356-14.5276302125129j</v>
      </c>
      <c r="BA172" s="86">
        <f t="shared" si="90"/>
        <v>23.275411006837807</v>
      </c>
      <c r="BB172" s="86">
        <f t="shared" si="91"/>
        <v>94.87786439652335</v>
      </c>
      <c r="BD172" s="86" t="str">
        <f t="shared" si="92"/>
        <v>0.582406547941935-2.29699284223084j</v>
      </c>
      <c r="BE172" s="86">
        <f t="shared" si="93"/>
        <v>7.4937864848373454</v>
      </c>
      <c r="BF172" s="86">
        <f t="shared" si="94"/>
        <v>104.2276123446407</v>
      </c>
      <c r="BH172" s="86">
        <f t="shared" si="101"/>
        <v>-6.4937864848373454</v>
      </c>
      <c r="BI172" s="162">
        <f t="shared" si="102"/>
        <v>-104.2276123446407</v>
      </c>
      <c r="BJ172" s="88"/>
      <c r="BK172" s="88"/>
      <c r="BL172" s="88"/>
      <c r="BM172" s="88"/>
      <c r="BN172" s="42"/>
      <c r="BO172" s="42"/>
      <c r="BP172" s="42"/>
    </row>
    <row r="173" spans="1:68" s="86" customFormat="1">
      <c r="A173" s="86">
        <v>109</v>
      </c>
      <c r="B173" s="86">
        <f t="shared" si="52"/>
        <v>15135.612484362091</v>
      </c>
      <c r="C173" s="86" t="str">
        <f t="shared" si="53"/>
        <v>95099.8579769078j</v>
      </c>
      <c r="D173" s="86">
        <f t="shared" si="54"/>
        <v>0.99717960276667561</v>
      </c>
      <c r="E173" s="86" t="str">
        <f t="shared" si="55"/>
        <v>-0.0834209280499191j</v>
      </c>
      <c r="F173" s="86" t="str">
        <f t="shared" si="56"/>
        <v>0.997179602766676-0.0834209280499191j</v>
      </c>
      <c r="G173" s="86">
        <f t="shared" si="57"/>
        <v>5.7558470827098664E-3</v>
      </c>
      <c r="H173" s="86">
        <f t="shared" si="58"/>
        <v>-4.7820508478811066</v>
      </c>
      <c r="J173" s="86">
        <f t="shared" si="59"/>
        <v>8.3707025411061284</v>
      </c>
      <c r="K173" s="86" t="str">
        <f t="shared" si="60"/>
        <v>1+4.0828406883586j</v>
      </c>
      <c r="L173" s="86">
        <f t="shared" si="61"/>
        <v>-5.6300712528464469E-2</v>
      </c>
      <c r="M173" s="86" t="str">
        <f t="shared" si="62"/>
        <v>0.280089693818835j</v>
      </c>
      <c r="N173" s="86" t="str">
        <f t="shared" si="63"/>
        <v>-0.0563007125284645+0.280089693818835j</v>
      </c>
      <c r="O173" s="86" t="str">
        <f t="shared" si="64"/>
        <v>13.3210094952921-6.24793544640487j</v>
      </c>
      <c r="P173" s="86" t="str">
        <f t="shared" si="65"/>
        <v>111.50620803234-52.2996091178883j</v>
      </c>
      <c r="R173" s="86">
        <f t="shared" si="66"/>
        <v>11.958146487294469</v>
      </c>
      <c r="S173" s="86" t="str">
        <f t="shared" si="67"/>
        <v>1+0.00713248934826809j</v>
      </c>
      <c r="T173" s="86" t="str">
        <f t="shared" si="68"/>
        <v>-0.0563007125284645+0.280089693818835j</v>
      </c>
      <c r="U173" s="86" t="str">
        <f t="shared" si="69"/>
        <v>-0.665314521401562-3.4365502895374j</v>
      </c>
      <c r="V173" s="86" t="str">
        <f t="shared" si="70"/>
        <v>-7.95592850704409-41.0947717732424j</v>
      </c>
      <c r="X173" s="86" t="str">
        <f t="shared" si="71"/>
        <v>4.42169877892218-2.54361400509478j</v>
      </c>
      <c r="Y173" s="86">
        <f t="shared" si="72"/>
        <v>14.153305301714195</v>
      </c>
      <c r="Z173" s="86">
        <f t="shared" si="73"/>
        <v>150.09002506355628</v>
      </c>
      <c r="AB173" s="86" t="str">
        <f t="shared" si="74"/>
        <v>-3.69999834125013-19.1116080618906j</v>
      </c>
      <c r="AC173" s="86">
        <f t="shared" si="75"/>
        <v>25.785745198366442</v>
      </c>
      <c r="AD173" s="86">
        <f t="shared" si="76"/>
        <v>79.043112909828523</v>
      </c>
      <c r="AF173" s="86" t="str">
        <f t="shared" si="77"/>
        <v>0.796108873124689-3.15152410330461j</v>
      </c>
      <c r="AG173" s="86">
        <f t="shared" si="78"/>
        <v>10.239062293333919</v>
      </c>
      <c r="AH173" s="86">
        <f t="shared" si="79"/>
        <v>104.17694269376589</v>
      </c>
      <c r="AJ173" s="86" t="str">
        <f t="shared" si="80"/>
        <v>86047.2924894889-40383.5259310611j</v>
      </c>
      <c r="AK173" s="86" t="str">
        <f t="shared" si="81"/>
        <v>20000-0.0000380399431907632j</v>
      </c>
      <c r="AL173" s="86" t="str">
        <f t="shared" si="95"/>
        <v>10000-233672.506930749j</v>
      </c>
      <c r="AM173" s="86" t="str">
        <f t="shared" si="96"/>
        <v>962.300896946268-72547.4549822213j</v>
      </c>
      <c r="AN173" s="86" t="str">
        <f t="shared" si="97"/>
        <v>10962.3008969463-72547.4549822213j</v>
      </c>
      <c r="AO173" s="86" t="str">
        <f t="shared" si="98"/>
        <v>18009.4304171995-4664.08350625424j</v>
      </c>
      <c r="AP173" s="86" t="str">
        <f t="shared" si="99"/>
        <v>0.1647098964544+0.0627226418199553j</v>
      </c>
      <c r="AQ173" s="86" t="str">
        <f t="shared" si="82"/>
        <v>1+2.91005565409338j</v>
      </c>
      <c r="AR173" s="86">
        <f t="shared" si="83"/>
        <v>9.7232541205908214E-8</v>
      </c>
      <c r="AS173" s="86" t="str">
        <f t="shared" si="84"/>
        <v>0.000114411786136278j</v>
      </c>
      <c r="AT173" s="86" t="str">
        <f t="shared" si="85"/>
        <v>9.72325412059082E-08+0.000114411786136278j</v>
      </c>
      <c r="AU173" s="86" t="str">
        <f t="shared" si="86"/>
        <v>3.8163507850917-1.30781042380377j</v>
      </c>
      <c r="AW173" s="86" t="str">
        <f t="shared" si="100"/>
        <v>0.709225942022766-0.0229335897175535j</v>
      </c>
      <c r="AX173" s="86">
        <f t="shared" si="87"/>
        <v>-2.9797690360436424</v>
      </c>
      <c r="AY173" s="86">
        <f t="shared" si="88"/>
        <v>178.14792419829683</v>
      </c>
      <c r="AZ173" s="86" t="str">
        <f t="shared" si="89"/>
        <v>-3.06243258718988-13.4695939873504j</v>
      </c>
      <c r="BA173" s="86">
        <f t="shared" si="90"/>
        <v>22.8059761623228</v>
      </c>
      <c r="BB173" s="86">
        <f t="shared" si="91"/>
        <v>77.191037108125343</v>
      </c>
      <c r="BD173" s="86" t="str">
        <f t="shared" si="92"/>
        <v>0.492345304724373-2.25340028524041j</v>
      </c>
      <c r="BE173" s="86">
        <f t="shared" si="93"/>
        <v>7.2592932572902766</v>
      </c>
      <c r="BF173" s="86">
        <f t="shared" si="94"/>
        <v>102.32486689206274</v>
      </c>
      <c r="BH173" s="86">
        <f t="shared" si="101"/>
        <v>-6.2592932572902766</v>
      </c>
      <c r="BI173" s="162">
        <f t="shared" si="102"/>
        <v>-102.32486689206274</v>
      </c>
      <c r="BJ173" s="88"/>
      <c r="BK173" s="88"/>
      <c r="BL173" s="88"/>
      <c r="BM173" s="88"/>
      <c r="BN173" s="42"/>
      <c r="BO173" s="42"/>
      <c r="BP173" s="42"/>
    </row>
    <row r="174" spans="1:68" s="86" customFormat="1">
      <c r="A174" s="86">
        <v>110</v>
      </c>
      <c r="B174" s="86">
        <f t="shared" si="52"/>
        <v>15848.931924611154</v>
      </c>
      <c r="C174" s="86" t="str">
        <f t="shared" si="53"/>
        <v>99581.7762032063j</v>
      </c>
      <c r="D174" s="86">
        <f t="shared" si="54"/>
        <v>0.99690749592919714</v>
      </c>
      <c r="E174" s="86" t="str">
        <f t="shared" si="55"/>
        <v>-0.0873524352659704j</v>
      </c>
      <c r="F174" s="86" t="str">
        <f t="shared" si="56"/>
        <v>0.996907495929197-0.0873524352659704j</v>
      </c>
      <c r="G174" s="86">
        <f t="shared" si="57"/>
        <v>6.3144067915625861E-3</v>
      </c>
      <c r="H174" s="86">
        <f t="shared" si="58"/>
        <v>-5.0076617275107518</v>
      </c>
      <c r="J174" s="86">
        <f t="shared" si="59"/>
        <v>8.3707025411061284</v>
      </c>
      <c r="K174" s="86" t="str">
        <f t="shared" si="60"/>
        <v>1+4.27525904192408j</v>
      </c>
      <c r="L174" s="86">
        <f t="shared" si="61"/>
        <v>-0.15821069985797487</v>
      </c>
      <c r="M174" s="86" t="str">
        <f t="shared" si="62"/>
        <v>0.293289914412537j</v>
      </c>
      <c r="N174" s="86" t="str">
        <f t="shared" si="63"/>
        <v>-0.158210699857975+0.293289914412537j</v>
      </c>
      <c r="O174" s="86" t="str">
        <f t="shared" si="64"/>
        <v>9.86657911517708-8.73196881708651j</v>
      </c>
      <c r="P174" s="86" t="str">
        <f t="shared" si="65"/>
        <v>82.5901988714374-73.0927135660455j</v>
      </c>
      <c r="R174" s="86">
        <f t="shared" si="66"/>
        <v>11.958146487294469</v>
      </c>
      <c r="S174" s="86" t="str">
        <f t="shared" si="67"/>
        <v>1+0.00746863321524047j</v>
      </c>
      <c r="T174" s="86" t="str">
        <f t="shared" si="68"/>
        <v>-0.158210699857975+0.293289914412537j</v>
      </c>
      <c r="U174" s="86" t="str">
        <f t="shared" si="69"/>
        <v>-1.40495981831829-2.65171178978081j</v>
      </c>
      <c r="V174" s="86" t="str">
        <f t="shared" si="70"/>
        <v>-16.8007153162127-31.7095580242847j</v>
      </c>
      <c r="X174" s="86" t="str">
        <f t="shared" si="71"/>
        <v>3.14360683245801-3.31459790661815j</v>
      </c>
      <c r="Y174" s="86">
        <f t="shared" si="72"/>
        <v>13.194979597355607</v>
      </c>
      <c r="Z174" s="86">
        <f t="shared" si="73"/>
        <v>133.48335892615654</v>
      </c>
      <c r="AB174" s="86" t="str">
        <f t="shared" si="74"/>
        <v>-7.81337071427483-14.7469037696542j</v>
      </c>
      <c r="AC174" s="86">
        <f t="shared" si="75"/>
        <v>24.448562815788577</v>
      </c>
      <c r="AD174" s="86">
        <f t="shared" si="76"/>
        <v>62.083958369555305</v>
      </c>
      <c r="AF174" s="86" t="str">
        <f t="shared" si="77"/>
        <v>0.58618051138364-3.09004970583231j</v>
      </c>
      <c r="AG174" s="86">
        <f t="shared" si="78"/>
        <v>9.9528475642780627</v>
      </c>
      <c r="AH174" s="86">
        <f t="shared" si="79"/>
        <v>100.74134201060529</v>
      </c>
      <c r="AJ174" s="86" t="str">
        <f t="shared" si="80"/>
        <v>84574.4699534555-41562.9447609873j</v>
      </c>
      <c r="AK174" s="86" t="str">
        <f t="shared" si="81"/>
        <v>20000-0.0000398327104812826j</v>
      </c>
      <c r="AL174" s="86" t="str">
        <f t="shared" si="95"/>
        <v>10000-223155.511675908j</v>
      </c>
      <c r="AM174" s="86" t="str">
        <f t="shared" si="96"/>
        <v>962.220103854369-69284.8959091907j</v>
      </c>
      <c r="AN174" s="86" t="str">
        <f t="shared" si="97"/>
        <v>10962.2201038544-69284.8959091907j</v>
      </c>
      <c r="AO174" s="86" t="str">
        <f t="shared" si="98"/>
        <v>17849.4933181623-4812.23991138341j</v>
      </c>
      <c r="AP174" s="86" t="str">
        <f t="shared" si="99"/>
        <v>0.165161506624755+0.0656431588540456j</v>
      </c>
      <c r="AQ174" s="86" t="str">
        <f t="shared" si="82"/>
        <v>1+3.04720235181811j</v>
      </c>
      <c r="AR174" s="86">
        <f t="shared" si="83"/>
        <v>9.6965541773553645E-8</v>
      </c>
      <c r="AS174" s="86" t="str">
        <f t="shared" si="84"/>
        <v>0.000119803847496791j</v>
      </c>
      <c r="AT174" s="86" t="str">
        <f t="shared" si="85"/>
        <v>9.69655417735536E-08+0.000119803847496791j</v>
      </c>
      <c r="AU174" s="86" t="str">
        <f t="shared" si="86"/>
        <v>3.81625021399323-1.24895784531849j</v>
      </c>
      <c r="AW174" s="86" t="str">
        <f t="shared" si="100"/>
        <v>0.712066761912855-0.00506854754773443j</v>
      </c>
      <c r="AX174" s="86">
        <f t="shared" si="87"/>
        <v>-2.9493656793333187</v>
      </c>
      <c r="AY174" s="86">
        <f t="shared" si="88"/>
        <v>179.59217099610538</v>
      </c>
      <c r="AZ174" s="86" t="str">
        <f t="shared" si="89"/>
        <v>-5.63838696707677-10.4611775745248j</v>
      </c>
      <c r="BA174" s="86">
        <f t="shared" si="90"/>
        <v>21.499197136455276</v>
      </c>
      <c r="BB174" s="86">
        <f t="shared" si="91"/>
        <v>61.676129365660756</v>
      </c>
      <c r="BD174" s="86" t="str">
        <f t="shared" si="92"/>
        <v>0.4017375947785-2.20329277197529j</v>
      </c>
      <c r="BE174" s="86">
        <f t="shared" si="93"/>
        <v>7.0034818849447618</v>
      </c>
      <c r="BF174" s="86">
        <f t="shared" si="94"/>
        <v>100.33351300671073</v>
      </c>
      <c r="BH174" s="86">
        <f t="shared" si="101"/>
        <v>-6.0034818849447618</v>
      </c>
      <c r="BI174" s="162">
        <f t="shared" si="102"/>
        <v>-100.33351300671073</v>
      </c>
      <c r="BJ174" s="88"/>
      <c r="BK174" s="88"/>
      <c r="BL174" s="88"/>
      <c r="BM174" s="88"/>
      <c r="BN174" s="42"/>
      <c r="BO174" s="42"/>
      <c r="BP174" s="42"/>
    </row>
    <row r="175" spans="1:68" s="86" customFormat="1">
      <c r="A175" s="86">
        <v>111</v>
      </c>
      <c r="B175" s="86">
        <f t="shared" si="52"/>
        <v>16595.869074375623</v>
      </c>
      <c r="C175" s="86" t="str">
        <f t="shared" si="53"/>
        <v>104274.920727993j</v>
      </c>
      <c r="D175" s="86">
        <f t="shared" si="54"/>
        <v>0.99660913671488072</v>
      </c>
      <c r="E175" s="86" t="str">
        <f t="shared" si="55"/>
        <v>-0.0914692287087658j</v>
      </c>
      <c r="F175" s="86" t="str">
        <f t="shared" si="56"/>
        <v>0.996609136714881-0.0914692287087658j</v>
      </c>
      <c r="G175" s="86">
        <f t="shared" si="57"/>
        <v>6.9275107838480867E-3</v>
      </c>
      <c r="H175" s="86">
        <f t="shared" si="58"/>
        <v>-5.2439406198478684</v>
      </c>
      <c r="J175" s="86">
        <f t="shared" si="59"/>
        <v>8.3707025411061284</v>
      </c>
      <c r="K175" s="86" t="str">
        <f t="shared" si="60"/>
        <v>1+4.47674579311144j</v>
      </c>
      <c r="L175" s="86">
        <f t="shared" si="61"/>
        <v>-0.26995277893400393</v>
      </c>
      <c r="M175" s="86" t="str">
        <f t="shared" si="62"/>
        <v>0.307112242236773j</v>
      </c>
      <c r="N175" s="86" t="str">
        <f t="shared" si="63"/>
        <v>-0.269952778934004+0.307112242236773j</v>
      </c>
      <c r="O175" s="86" t="str">
        <f t="shared" si="64"/>
        <v>6.6086164610849-9.06513644100352j</v>
      </c>
      <c r="P175" s="86" t="str">
        <f t="shared" si="65"/>
        <v>55.3187626039992-75.8815606421819j</v>
      </c>
      <c r="R175" s="86">
        <f t="shared" si="66"/>
        <v>11.958146487294469</v>
      </c>
      <c r="S175" s="86" t="str">
        <f t="shared" si="67"/>
        <v>1+0.00782061905459948j</v>
      </c>
      <c r="T175" s="86" t="str">
        <f t="shared" si="68"/>
        <v>-0.269952778934004+0.307112242236773j</v>
      </c>
      <c r="U175" s="86" t="str">
        <f t="shared" si="69"/>
        <v>-1.60025766467106-1.84950620097292j</v>
      </c>
      <c r="V175" s="86" t="str">
        <f t="shared" si="70"/>
        <v>-19.1361155715523-22.1166660803937j</v>
      </c>
      <c r="X175" s="86" t="str">
        <f t="shared" si="71"/>
        <v>1.99462290794003-3.33956019136172j</v>
      </c>
      <c r="Y175" s="86">
        <f t="shared" si="72"/>
        <v>11.798728784955744</v>
      </c>
      <c r="Z175" s="86">
        <f t="shared" si="73"/>
        <v>120.84865310344537</v>
      </c>
      <c r="AB175" s="86" t="str">
        <f t="shared" si="74"/>
        <v>-8.89947613405846-10.2856162846344j</v>
      </c>
      <c r="AC175" s="86">
        <f t="shared" si="75"/>
        <v>22.671589994335228</v>
      </c>
      <c r="AD175" s="86">
        <f t="shared" si="76"/>
        <v>49.13249069092339</v>
      </c>
      <c r="AF175" s="86" t="str">
        <f t="shared" si="77"/>
        <v>0.382638945158405-3.0079815631662j</v>
      </c>
      <c r="AG175" s="86">
        <f t="shared" si="78"/>
        <v>9.6352177102472982</v>
      </c>
      <c r="AH175" s="86">
        <f t="shared" si="79"/>
        <v>97.249538097559437</v>
      </c>
      <c r="AJ175" s="86" t="str">
        <f t="shared" si="80"/>
        <v>83016.4346689368-42719.9861317454j</v>
      </c>
      <c r="AK175" s="86" t="str">
        <f t="shared" si="81"/>
        <v>20000-0.0000417099682911972j</v>
      </c>
      <c r="AL175" s="86" t="str">
        <f t="shared" si="95"/>
        <v>10000-213111.859180312j</v>
      </c>
      <c r="AM175" s="86" t="str">
        <f t="shared" si="96"/>
        <v>962.131531582202-66169.2989077752j</v>
      </c>
      <c r="AN175" s="86" t="str">
        <f t="shared" si="97"/>
        <v>10962.1315315822-66169.2989077752j</v>
      </c>
      <c r="AO175" s="86" t="str">
        <f t="shared" si="98"/>
        <v>17679.4484216286-4959.26033333193j</v>
      </c>
      <c r="AP175" s="86" t="str">
        <f t="shared" si="99"/>
        <v>0.165656126381105+0.0686961008656702j</v>
      </c>
      <c r="AQ175" s="86" t="str">
        <f t="shared" si="82"/>
        <v>1+3.19081257427659j</v>
      </c>
      <c r="AR175" s="86">
        <f t="shared" si="83"/>
        <v>9.6672782717594254E-8</v>
      </c>
      <c r="AS175" s="86" t="str">
        <f t="shared" si="84"/>
        <v>0.000125450028880227j</v>
      </c>
      <c r="AT175" s="86" t="str">
        <f t="shared" si="85"/>
        <v>9.66727827175943E-08+0.000125450028880227j</v>
      </c>
      <c r="AU175" s="86" t="str">
        <f t="shared" si="86"/>
        <v>3.81615849200976-1.19275445908542j</v>
      </c>
      <c r="AW175" s="86" t="str">
        <f t="shared" si="100"/>
        <v>0.715178120058284+0.01272328086536j</v>
      </c>
      <c r="AX175" s="86">
        <f t="shared" si="87"/>
        <v>-2.9103413014985864</v>
      </c>
      <c r="AY175" s="86">
        <f t="shared" si="88"/>
        <v>-178.9807945999446</v>
      </c>
      <c r="AZ175" s="86" t="str">
        <f t="shared" si="89"/>
        <v>-6.23384382619677-7.46927825249388j</v>
      </c>
      <c r="BA175" s="86">
        <f t="shared" si="90"/>
        <v>19.761248692836627</v>
      </c>
      <c r="BB175" s="86">
        <f t="shared" si="91"/>
        <v>50.151696090978731</v>
      </c>
      <c r="BD175" s="86" t="str">
        <f t="shared" si="92"/>
        <v>0.311926395725458-2.1463741767459j</v>
      </c>
      <c r="BE175" s="86">
        <f t="shared" si="93"/>
        <v>6.7248764087486883</v>
      </c>
      <c r="BF175" s="86">
        <f t="shared" si="94"/>
        <v>98.268743497614778</v>
      </c>
      <c r="BH175" s="86">
        <f t="shared" si="101"/>
        <v>-5.7248764087486883</v>
      </c>
      <c r="BI175" s="162">
        <f t="shared" si="102"/>
        <v>-98.268743497614778</v>
      </c>
      <c r="BJ175" s="88"/>
      <c r="BK175" s="88"/>
      <c r="BL175" s="88"/>
      <c r="BM175" s="88"/>
      <c r="BN175" s="42"/>
      <c r="BO175" s="42"/>
      <c r="BP175" s="42"/>
    </row>
    <row r="176" spans="1:68" s="86" customFormat="1">
      <c r="A176" s="86">
        <v>112</v>
      </c>
      <c r="B176" s="86">
        <f t="shared" si="52"/>
        <v>17378.008287493769</v>
      </c>
      <c r="C176" s="86" t="str">
        <f t="shared" si="53"/>
        <v>109189.246340026j</v>
      </c>
      <c r="D176" s="86">
        <f t="shared" si="54"/>
        <v>0.99628199234176418</v>
      </c>
      <c r="E176" s="86" t="str">
        <f t="shared" si="55"/>
        <v>-0.0957800406491456j</v>
      </c>
      <c r="F176" s="86" t="str">
        <f t="shared" si="56"/>
        <v>0.996281992341764-0.0957800406491456j</v>
      </c>
      <c r="G176" s="86">
        <f t="shared" si="57"/>
        <v>7.6005536191918206E-3</v>
      </c>
      <c r="H176" s="86">
        <f t="shared" si="58"/>
        <v>-5.4913954649296981</v>
      </c>
      <c r="J176" s="86">
        <f t="shared" si="59"/>
        <v>8.3707025411061284</v>
      </c>
      <c r="K176" s="86" t="str">
        <f t="shared" si="60"/>
        <v>1+4.68772832233376j</v>
      </c>
      <c r="L176" s="86">
        <f t="shared" si="61"/>
        <v>-0.39247553223258813</v>
      </c>
      <c r="M176" s="86" t="str">
        <f t="shared" si="62"/>
        <v>0.321585996302048j</v>
      </c>
      <c r="N176" s="86" t="str">
        <f t="shared" si="63"/>
        <v>-0.392475532232588+0.321585996302048j</v>
      </c>
      <c r="O176" s="86" t="str">
        <f t="shared" si="64"/>
        <v>4.33098599212607-8.39528481773748j</v>
      </c>
      <c r="P176" s="86" t="str">
        <f t="shared" si="65"/>
        <v>36.2533954497847-70.2744319571448j</v>
      </c>
      <c r="R176" s="86">
        <f t="shared" si="66"/>
        <v>11.958146487294469</v>
      </c>
      <c r="S176" s="86" t="str">
        <f t="shared" si="67"/>
        <v>1+0.00818919347550195j</v>
      </c>
      <c r="T176" s="86" t="str">
        <f t="shared" si="68"/>
        <v>-0.392475532232588+0.321585996302048j</v>
      </c>
      <c r="U176" s="86" t="str">
        <f t="shared" si="69"/>
        <v>-1.51421651705784-1.26158188235066j</v>
      </c>
      <c r="V176" s="86" t="str">
        <f t="shared" si="70"/>
        <v>-18.1072229244585-15.0861809548659j</v>
      </c>
      <c r="X176" s="86" t="str">
        <f t="shared" si="71"/>
        <v>1.2163722805538-3.04160164240126j</v>
      </c>
      <c r="Y176" s="86">
        <f t="shared" si="72"/>
        <v>10.306362317649826</v>
      </c>
      <c r="Z176" s="86">
        <f t="shared" si="73"/>
        <v>111.79705115890594</v>
      </c>
      <c r="AB176" s="86" t="str">
        <f t="shared" si="74"/>
        <v>-8.42097747935072-7.01600629761588j</v>
      </c>
      <c r="AC176" s="86">
        <f t="shared" si="75"/>
        <v>20.796775277285242</v>
      </c>
      <c r="AD176" s="86">
        <f t="shared" si="76"/>
        <v>39.799648073130982</v>
      </c>
      <c r="AF176" s="86" t="str">
        <f t="shared" si="77"/>
        <v>0.188925584356413-2.90626714043559j</v>
      </c>
      <c r="AG176" s="86">
        <f t="shared" si="78"/>
        <v>9.2850244453986637</v>
      </c>
      <c r="AH176" s="86">
        <f t="shared" si="79"/>
        <v>93.719351665552011</v>
      </c>
      <c r="AJ176" s="86" t="str">
        <f t="shared" si="80"/>
        <v>81372.7555904631-43847.6223370593j</v>
      </c>
      <c r="AK176" s="86" t="str">
        <f t="shared" si="81"/>
        <v>20000-0.0000436756985360104j</v>
      </c>
      <c r="AL176" s="86" t="str">
        <f t="shared" si="95"/>
        <v>10000-203520.245510442j</v>
      </c>
      <c r="AM176" s="86" t="str">
        <f t="shared" si="96"/>
        <v>962.034432756908-63194.0553077921j</v>
      </c>
      <c r="AN176" s="86" t="str">
        <f t="shared" si="97"/>
        <v>10962.0344327569-63194.0553077921j</v>
      </c>
      <c r="AO176" s="86" t="str">
        <f t="shared" si="98"/>
        <v>17499.0966800251-5104.38752917432j</v>
      </c>
      <c r="AP176" s="86" t="str">
        <f t="shared" si="99"/>
        <v>0.166197792952094+0.0718869481228235j</v>
      </c>
      <c r="AQ176" s="86" t="str">
        <f t="shared" si="82"/>
        <v>1+3.3411909380048j</v>
      </c>
      <c r="AR176" s="86">
        <f t="shared" si="83"/>
        <v>9.6351778796011312E-8</v>
      </c>
      <c r="AS176" s="86" t="str">
        <f t="shared" si="84"/>
        <v>0.000131362306594295j</v>
      </c>
      <c r="AT176" s="86" t="str">
        <f t="shared" si="85"/>
        <v>9.63517787960113E-08+0.000131362306594295j</v>
      </c>
      <c r="AU176" s="86" t="str">
        <f t="shared" si="86"/>
        <v>3.81607484051329-1.13908105209532j</v>
      </c>
      <c r="AW176" s="86" t="str">
        <f t="shared" si="100"/>
        <v>0.718584558840584+0.0304705695266578j</v>
      </c>
      <c r="AX176" s="86">
        <f t="shared" si="87"/>
        <v>-2.8626405006797997</v>
      </c>
      <c r="AY176" s="86">
        <f t="shared" si="88"/>
        <v>-177.57190748917347</v>
      </c>
      <c r="AZ176" s="86" t="str">
        <f t="shared" si="89"/>
        <v>-5.83740267931476-5.29818576996204j</v>
      </c>
      <c r="BA176" s="86">
        <f t="shared" si="90"/>
        <v>17.934134776605447</v>
      </c>
      <c r="BB176" s="86">
        <f t="shared" si="91"/>
        <v>42.227740583957484</v>
      </c>
      <c r="BD176" s="86" t="str">
        <f t="shared" si="92"/>
        <v>0.224314622654135-2.0826420208293j</v>
      </c>
      <c r="BE176" s="86">
        <f t="shared" si="93"/>
        <v>6.4223839447188711</v>
      </c>
      <c r="BF176" s="86">
        <f t="shared" si="94"/>
        <v>96.147444176378514</v>
      </c>
      <c r="BH176" s="86">
        <f t="shared" si="101"/>
        <v>-5.4223839447188711</v>
      </c>
      <c r="BI176" s="162">
        <f t="shared" si="102"/>
        <v>-96.147444176378514</v>
      </c>
      <c r="BJ176" s="88"/>
      <c r="BK176" s="88"/>
      <c r="BL176" s="88"/>
      <c r="BM176" s="88"/>
      <c r="BN176" s="42"/>
      <c r="BO176" s="42"/>
      <c r="BP176" s="42"/>
    </row>
    <row r="177" spans="1:68" s="86" customFormat="1">
      <c r="A177" s="86">
        <v>113</v>
      </c>
      <c r="B177" s="86">
        <f t="shared" si="52"/>
        <v>18197.008586099848</v>
      </c>
      <c r="C177" s="86" t="str">
        <f t="shared" si="53"/>
        <v>114335.176982803j</v>
      </c>
      <c r="D177" s="86">
        <f t="shared" si="54"/>
        <v>0.99592328566965105</v>
      </c>
      <c r="E177" s="86" t="str">
        <f t="shared" si="55"/>
        <v>-0.100294014897196j</v>
      </c>
      <c r="F177" s="86" t="str">
        <f t="shared" si="56"/>
        <v>0.995923285669651-0.100294014897196j</v>
      </c>
      <c r="G177" s="86">
        <f t="shared" si="57"/>
        <v>8.3394769478004806E-3</v>
      </c>
      <c r="H177" s="86">
        <f t="shared" si="58"/>
        <v>-5.7505588926062439</v>
      </c>
      <c r="J177" s="86">
        <f t="shared" si="59"/>
        <v>8.3707025411061284</v>
      </c>
      <c r="K177" s="86" t="str">
        <f t="shared" si="60"/>
        <v>1+4.90865415182241j</v>
      </c>
      <c r="L177" s="86">
        <f t="shared" si="61"/>
        <v>-0.52681905975589771</v>
      </c>
      <c r="M177" s="86" t="str">
        <f t="shared" si="62"/>
        <v>0.336741877381264j</v>
      </c>
      <c r="N177" s="86" t="str">
        <f t="shared" si="63"/>
        <v>-0.526819059755898+0.336741877381264j</v>
      </c>
      <c r="O177" s="86" t="str">
        <f t="shared" si="64"/>
        <v>2.88061934658719-7.47624618375959j</v>
      </c>
      <c r="P177" s="86" t="str">
        <f t="shared" si="65"/>
        <v>24.1128076844369-62.5814329283314j</v>
      </c>
      <c r="R177" s="86">
        <f t="shared" si="66"/>
        <v>11.958146487294469</v>
      </c>
      <c r="S177" s="86" t="str">
        <f t="shared" si="67"/>
        <v>1+0.00857513827371022j</v>
      </c>
      <c r="T177" s="86" t="str">
        <f t="shared" si="68"/>
        <v>-0.526819059755898+0.336741877381264j</v>
      </c>
      <c r="U177" s="86" t="str">
        <f t="shared" si="69"/>
        <v>-1.34020637077352-0.872934908352405j</v>
      </c>
      <c r="V177" s="86" t="str">
        <f t="shared" si="70"/>
        <v>-16.026384104915-10.438683507951j</v>
      </c>
      <c r="X177" s="86" t="str">
        <f t="shared" si="71"/>
        <v>0.734183163317208-2.67981448379597j</v>
      </c>
      <c r="Y177" s="86">
        <f t="shared" si="72"/>
        <v>8.8764152253966984</v>
      </c>
      <c r="Z177" s="86">
        <f t="shared" si="73"/>
        <v>105.32125977443751</v>
      </c>
      <c r="AB177" s="86" t="str">
        <f t="shared" si="74"/>
        <v>-7.45325885620031-4.8546328225621j</v>
      </c>
      <c r="AC177" s="86">
        <f t="shared" si="75"/>
        <v>18.982781954297547</v>
      </c>
      <c r="AD177" s="86">
        <f t="shared" si="76"/>
        <v>33.077954145148766</v>
      </c>
      <c r="AF177" s="86" t="str">
        <f t="shared" si="77"/>
        <v>0.00826391298964485-2.78660707303596j</v>
      </c>
      <c r="AG177" s="86">
        <f t="shared" si="78"/>
        <v>8.9015528969079352</v>
      </c>
      <c r="AH177" s="86">
        <f t="shared" si="79"/>
        <v>90.16991485922162</v>
      </c>
      <c r="AJ177" s="86" t="str">
        <f t="shared" si="80"/>
        <v>79643.71784284-44938.4977682643j</v>
      </c>
      <c r="AK177" s="86" t="str">
        <f t="shared" si="81"/>
        <v>20000-0.0000457340707931212j</v>
      </c>
      <c r="AL177" s="86" t="str">
        <f t="shared" si="95"/>
        <v>10000-194360.325567735j</v>
      </c>
      <c r="AM177" s="86" t="str">
        <f t="shared" si="96"/>
        <v>961.927988535599-60352.854136929j</v>
      </c>
      <c r="AN177" s="86" t="str">
        <f t="shared" si="97"/>
        <v>10961.9279885356-60352.854136929j</v>
      </c>
      <c r="AO177" s="86" t="str">
        <f t="shared" si="98"/>
        <v>17308.3067545237-5246.81052147293j</v>
      </c>
      <c r="AP177" s="86" t="str">
        <f t="shared" si="99"/>
        <v>0.166790910743351+0.0752213294963822j</v>
      </c>
      <c r="AQ177" s="86" t="str">
        <f t="shared" si="82"/>
        <v>1+3.49865641567377j</v>
      </c>
      <c r="AR177" s="86">
        <f t="shared" si="83"/>
        <v>9.5999804995119191E-8</v>
      </c>
      <c r="AS177" s="86" t="str">
        <f t="shared" si="84"/>
        <v>0.000137553221372701j</v>
      </c>
      <c r="AT177" s="86" t="str">
        <f t="shared" si="85"/>
        <v>9.59998049951192E-08+0.000137553221372701j</v>
      </c>
      <c r="AU177" s="86" t="str">
        <f t="shared" si="86"/>
        <v>3.81599854938583-1.08782377751782j</v>
      </c>
      <c r="AW177" s="86" t="str">
        <f t="shared" si="100"/>
        <v>0.722312754773431+0.048200603490992j</v>
      </c>
      <c r="AX177" s="86">
        <f t="shared" si="87"/>
        <v>-2.8061980469256316</v>
      </c>
      <c r="AY177" s="86">
        <f t="shared" si="88"/>
        <v>-176.18225932821946</v>
      </c>
      <c r="AZ177" s="86" t="str">
        <f t="shared" si="89"/>
        <v>-5.14958770468685-3.86581478232178j</v>
      </c>
      <c r="BA177" s="86">
        <f t="shared" si="90"/>
        <v>16.176583907371921</v>
      </c>
      <c r="BB177" s="86">
        <f t="shared" si="91"/>
        <v>36.895694816929279</v>
      </c>
      <c r="BD177" s="86" t="str">
        <f t="shared" si="92"/>
        <v>0.140285272369357-2.01240350580244j</v>
      </c>
      <c r="BE177" s="86">
        <f t="shared" si="93"/>
        <v>6.0953548499823293</v>
      </c>
      <c r="BF177" s="86">
        <f t="shared" si="94"/>
        <v>93.987655531002119</v>
      </c>
      <c r="BH177" s="86">
        <f t="shared" si="101"/>
        <v>-5.0953548499823293</v>
      </c>
      <c r="BI177" s="162">
        <f t="shared" si="102"/>
        <v>-93.987655531002119</v>
      </c>
      <c r="BJ177" s="88"/>
      <c r="BK177" s="88"/>
      <c r="BL177" s="88"/>
      <c r="BM177" s="88"/>
      <c r="BN177" s="42"/>
      <c r="BO177" s="42"/>
      <c r="BP177" s="42"/>
    </row>
    <row r="178" spans="1:68" s="86" customFormat="1">
      <c r="A178" s="86">
        <v>114</v>
      </c>
      <c r="B178" s="86">
        <f t="shared" si="52"/>
        <v>19054.607179632498</v>
      </c>
      <c r="C178" s="86" t="str">
        <f t="shared" si="53"/>
        <v>119723.627865146j</v>
      </c>
      <c r="D178" s="86">
        <f t="shared" si="54"/>
        <v>0.99552997162486789</v>
      </c>
      <c r="E178" s="86" t="str">
        <f t="shared" si="55"/>
        <v>-0.105020726197496j</v>
      </c>
      <c r="F178" s="86" t="str">
        <f t="shared" si="56"/>
        <v>0.995529971624868-0.105020726197496j</v>
      </c>
      <c r="G178" s="86">
        <f t="shared" si="57"/>
        <v>9.1508276440600746E-3</v>
      </c>
      <c r="H178" s="86">
        <f t="shared" si="58"/>
        <v>-6.02198949358504</v>
      </c>
      <c r="J178" s="86">
        <f t="shared" si="59"/>
        <v>8.3707025411061284</v>
      </c>
      <c r="K178" s="86" t="str">
        <f t="shared" si="60"/>
        <v>1+5.13999189488186j</v>
      </c>
      <c r="L178" s="86">
        <f t="shared" si="61"/>
        <v>-0.67412380847820685</v>
      </c>
      <c r="M178" s="86" t="str">
        <f t="shared" si="62"/>
        <v>0.35261203313018j</v>
      </c>
      <c r="N178" s="86" t="str">
        <f t="shared" si="63"/>
        <v>-0.674123808478207+0.35261203313018j</v>
      </c>
      <c r="O178" s="86" t="str">
        <f t="shared" si="64"/>
        <v>1.96672796629684-6.59596930437697j</v>
      </c>
      <c r="P178" s="86" t="str">
        <f t="shared" si="65"/>
        <v>16.4628947851454-55.2128970172063j</v>
      </c>
      <c r="R178" s="86">
        <f t="shared" si="66"/>
        <v>11.958146487294469</v>
      </c>
      <c r="S178" s="86" t="str">
        <f t="shared" si="67"/>
        <v>1+0.00897927208988595j</v>
      </c>
      <c r="T178" s="86" t="str">
        <f t="shared" si="68"/>
        <v>-0.674123808478207+0.35261203313018j</v>
      </c>
      <c r="U178" s="86" t="str">
        <f t="shared" si="69"/>
        <v>-1.15926560672421-0.619693696263073j</v>
      </c>
      <c r="V178" s="86" t="str">
        <f t="shared" si="70"/>
        <v>-13.8626679428904-7.41038799716679j</v>
      </c>
      <c r="X178" s="86" t="str">
        <f t="shared" si="71"/>
        <v>0.438358773502366-2.34663596402688j</v>
      </c>
      <c r="Y178" s="86">
        <f t="shared" si="72"/>
        <v>7.5578789374224931</v>
      </c>
      <c r="Z178" s="86">
        <f t="shared" si="73"/>
        <v>100.58107473806966</v>
      </c>
      <c r="AB178" s="86" t="str">
        <f t="shared" si="74"/>
        <v>-6.44699714792341-3.4462882959872j</v>
      </c>
      <c r="AC178" s="86">
        <f t="shared" si="75"/>
        <v>17.278719369873286</v>
      </c>
      <c r="AD178" s="86">
        <f t="shared" si="76"/>
        <v>28.127049654646555</v>
      </c>
      <c r="AF178" s="86" t="str">
        <f t="shared" si="77"/>
        <v>-0.156543978216791-2.65138301755996j</v>
      </c>
      <c r="AG178" s="86">
        <f t="shared" si="78"/>
        <v>8.4845625977503598</v>
      </c>
      <c r="AH178" s="86">
        <f t="shared" si="79"/>
        <v>86.62104320697442</v>
      </c>
      <c r="AJ178" s="86" t="str">
        <f t="shared" si="80"/>
        <v>77830.3968211273-45985.0083927819j</v>
      </c>
      <c r="AK178" s="86" t="str">
        <f t="shared" si="81"/>
        <v>20000-0.0000478894511460584j</v>
      </c>
      <c r="AL178" s="86" t="str">
        <f t="shared" si="95"/>
        <v>10000-185612.669933898j</v>
      </c>
      <c r="AM178" s="86" t="str">
        <f t="shared" si="96"/>
        <v>961.811301838011-57639.6687327753j</v>
      </c>
      <c r="AN178" s="86" t="str">
        <f t="shared" si="97"/>
        <v>10961.811301838-57639.6687327753j</v>
      </c>
      <c r="AO178" s="86" t="str">
        <f t="shared" si="98"/>
        <v>17107.0251400551-5385.67045253197j</v>
      </c>
      <c r="AP178" s="86" t="str">
        <f t="shared" si="99"/>
        <v>0.167440282364691+0.078705013984942j</v>
      </c>
      <c r="AQ178" s="86" t="str">
        <f t="shared" si="82"/>
        <v>1+3.66354301267347j</v>
      </c>
      <c r="AR178" s="86">
        <f t="shared" si="83"/>
        <v>9.5613873396827247E-8</v>
      </c>
      <c r="AS178" s="86" t="str">
        <f t="shared" si="84"/>
        <v>0.000144035904975721j</v>
      </c>
      <c r="AT178" s="86" t="str">
        <f t="shared" si="85"/>
        <v>9.56138733968272E-08+0.000144035904975721j</v>
      </c>
      <c r="AU178" s="86" t="str">
        <f t="shared" si="86"/>
        <v>3.81592897099153-1.03887391324892j</v>
      </c>
      <c r="AW178" s="86" t="str">
        <f t="shared" si="100"/>
        <v>0.726391672283348+0.0659391572103607j</v>
      </c>
      <c r="AX178" s="86">
        <f t="shared" si="87"/>
        <v>-2.7409421764513424</v>
      </c>
      <c r="AY178" s="86">
        <f t="shared" si="88"/>
        <v>-174.81311648529132</v>
      </c>
      <c r="AZ178" s="86" t="str">
        <f t="shared" si="89"/>
        <v>-4.45579969374473-2.92846467696434j</v>
      </c>
      <c r="BA178" s="86">
        <f t="shared" si="90"/>
        <v>14.537777193421933</v>
      </c>
      <c r="BB178" s="86">
        <f t="shared" si="91"/>
        <v>33.313933169355238</v>
      </c>
      <c r="BD178" s="86" t="str">
        <f t="shared" si="92"/>
        <v>0.0611177194969848-1.93626492197902j</v>
      </c>
      <c r="BE178" s="86">
        <f t="shared" si="93"/>
        <v>5.7436204212990107</v>
      </c>
      <c r="BF178" s="86">
        <f t="shared" si="94"/>
        <v>91.807926721683117</v>
      </c>
      <c r="BH178" s="86">
        <f t="shared" si="101"/>
        <v>-4.7436204212990107</v>
      </c>
      <c r="BI178" s="162">
        <f t="shared" si="102"/>
        <v>-91.807926721683117</v>
      </c>
      <c r="BJ178" s="88"/>
      <c r="BK178" s="88"/>
      <c r="BL178" s="88"/>
      <c r="BM178" s="88"/>
      <c r="BN178" s="42"/>
      <c r="BO178" s="42"/>
      <c r="BP178" s="42"/>
    </row>
    <row r="179" spans="1:68" s="86" customFormat="1">
      <c r="A179" s="86">
        <v>115</v>
      </c>
      <c r="B179" s="86">
        <f t="shared" si="52"/>
        <v>19952.623149688818</v>
      </c>
      <c r="C179" s="86" t="str">
        <f t="shared" si="53"/>
        <v>125366.028613816j</v>
      </c>
      <c r="D179" s="86">
        <f t="shared" si="54"/>
        <v>0.9950987113505263</v>
      </c>
      <c r="E179" s="86" t="str">
        <f t="shared" si="55"/>
        <v>-0.109970200538435j</v>
      </c>
      <c r="F179" s="86" t="str">
        <f t="shared" si="56"/>
        <v>0.995098711350526-0.109970200538435j</v>
      </c>
      <c r="G179" s="86">
        <f t="shared" si="57"/>
        <v>1.0041822619801121E-2</v>
      </c>
      <c r="H179" s="86">
        <f t="shared" si="58"/>
        <v>-6.3062731652977453</v>
      </c>
      <c r="J179" s="86">
        <f t="shared" si="59"/>
        <v>8.3707025411061284</v>
      </c>
      <c r="K179" s="86" t="str">
        <f t="shared" si="60"/>
        <v>1+5.38223224988101j</v>
      </c>
      <c r="L179" s="86">
        <f t="shared" si="61"/>
        <v>-0.83564025364051897</v>
      </c>
      <c r="M179" s="86" t="str">
        <f t="shared" si="62"/>
        <v>0.369230126276879j</v>
      </c>
      <c r="N179" s="86" t="str">
        <f t="shared" si="63"/>
        <v>-0.835640253640519+0.369230126276879j</v>
      </c>
      <c r="O179" s="86" t="str">
        <f t="shared" si="64"/>
        <v>1.37983084930211-5.83116611475332j</v>
      </c>
      <c r="P179" s="86" t="str">
        <f t="shared" si="65"/>
        <v>11.5501535965498-48.8109570143776j</v>
      </c>
      <c r="R179" s="86">
        <f t="shared" si="66"/>
        <v>11.958146487294469</v>
      </c>
      <c r="S179" s="86" t="str">
        <f t="shared" si="67"/>
        <v>1+0.0094024521460362j</v>
      </c>
      <c r="T179" s="86" t="str">
        <f t="shared" si="68"/>
        <v>-0.835640253640519+0.369230126276879j</v>
      </c>
      <c r="U179" s="86" t="str">
        <f t="shared" si="69"/>
        <v>-0.997056243129827-0.451804054504569j</v>
      </c>
      <c r="V179" s="86" t="str">
        <f t="shared" si="70"/>
        <v>-11.922944611418-5.40273906731921j</v>
      </c>
      <c r="X179" s="86" t="str">
        <f t="shared" si="71"/>
        <v>0.25354959822861-2.06298083696431j</v>
      </c>
      <c r="Y179" s="86">
        <f t="shared" si="72"/>
        <v>6.3550157388000006</v>
      </c>
      <c r="Z179" s="86">
        <f t="shared" si="73"/>
        <v>97.006769019753818</v>
      </c>
      <c r="AB179" s="86" t="str">
        <f t="shared" si="74"/>
        <v>-5.54490594605079-2.51260749384428j</v>
      </c>
      <c r="AC179" s="86">
        <f t="shared" si="75"/>
        <v>15.68895786437073</v>
      </c>
      <c r="AD179" s="86">
        <f t="shared" si="76"/>
        <v>24.377085747821752</v>
      </c>
      <c r="AF179" s="86" t="str">
        <f t="shared" si="77"/>
        <v>-0.303289796100859-2.5035216282482j</v>
      </c>
      <c r="AG179" s="86">
        <f t="shared" si="78"/>
        <v>8.0343015874914219</v>
      </c>
      <c r="AH179" s="86">
        <f t="shared" si="79"/>
        <v>83.092547911434636</v>
      </c>
      <c r="AJ179" s="86" t="str">
        <f t="shared" si="80"/>
        <v>75934.7231206989-46979.3971040091j</v>
      </c>
      <c r="AK179" s="86" t="str">
        <f t="shared" si="81"/>
        <v>20000-0.0000501464114455264j</v>
      </c>
      <c r="AL179" s="86" t="str">
        <f t="shared" si="95"/>
        <v>10000-177258.723658518j</v>
      </c>
      <c r="AM179" s="86" t="str">
        <f t="shared" si="96"/>
        <v>961.683389951965-55048.743957693j</v>
      </c>
      <c r="AN179" s="86" t="str">
        <f t="shared" si="97"/>
        <v>10961.683389952-55048.743957693j</v>
      </c>
      <c r="AO179" s="86" t="str">
        <f t="shared" si="98"/>
        <v>16895.2859508092-5520.06834724224j</v>
      </c>
      <c r="AP179" s="86" t="str">
        <f t="shared" si="99"/>
        <v>0.168151141798313+0.0823438997408941j</v>
      </c>
      <c r="AQ179" s="86" t="str">
        <f t="shared" si="82"/>
        <v>1+3.83620047558277j</v>
      </c>
      <c r="AR179" s="86">
        <f t="shared" si="83"/>
        <v>9.5190707814097571E-8</v>
      </c>
      <c r="AS179" s="86" t="str">
        <f t="shared" si="84"/>
        <v>0.000150824108044424j</v>
      </c>
      <c r="AT179" s="86" t="str">
        <f t="shared" si="85"/>
        <v>9.51907078140976E-08+0.000150824108044424j</v>
      </c>
      <c r="AU179" s="86" t="str">
        <f t="shared" si="86"/>
        <v>3.81586551467863-0.992127631324431j</v>
      </c>
      <c r="AW179" s="86" t="str">
        <f t="shared" si="100"/>
        <v>0.730852722936087+0.083710346153185j</v>
      </c>
      <c r="AX179" s="86">
        <f t="shared" si="87"/>
        <v>-2.6667982954697793</v>
      </c>
      <c r="AY179" s="86">
        <f t="shared" si="88"/>
        <v>-173.46593498972138</v>
      </c>
      <c r="AZ179" s="86" t="str">
        <f t="shared" si="89"/>
        <v>-3.84217836603893-2.30051202467648j</v>
      </c>
      <c r="BA179" s="86">
        <f t="shared" si="90"/>
        <v>13.02215956890096</v>
      </c>
      <c r="BB179" s="86">
        <f t="shared" si="91"/>
        <v>30.911150758100405</v>
      </c>
      <c r="BD179" s="86" t="str">
        <f t="shared" si="92"/>
        <v>-0.0120895112164001-1.85509409275092j</v>
      </c>
      <c r="BE179" s="86">
        <f t="shared" si="93"/>
        <v>5.3675032920216683</v>
      </c>
      <c r="BF179" s="86">
        <f t="shared" si="94"/>
        <v>89.626612921713317</v>
      </c>
      <c r="BH179" s="86">
        <f t="shared" si="101"/>
        <v>-4.3675032920216683</v>
      </c>
      <c r="BI179" s="162">
        <f t="shared" si="102"/>
        <v>-89.626612921713317</v>
      </c>
      <c r="BJ179" s="88"/>
      <c r="BK179" s="88"/>
      <c r="BL179" s="88"/>
      <c r="BM179" s="88"/>
      <c r="BN179" s="42"/>
      <c r="BO179" s="42"/>
      <c r="BP179" s="42"/>
    </row>
    <row r="180" spans="1:68" s="86" customFormat="1">
      <c r="A180" s="86">
        <v>116</v>
      </c>
      <c r="B180" s="86">
        <f t="shared" si="52"/>
        <v>20892.961308540394</v>
      </c>
      <c r="C180" s="86" t="str">
        <f t="shared" si="53"/>
        <v>131274.347517293j</v>
      </c>
      <c r="D180" s="86">
        <f t="shared" si="54"/>
        <v>0.99462584386284802</v>
      </c>
      <c r="E180" s="86" t="str">
        <f t="shared" si="55"/>
        <v>-0.115152936418678j</v>
      </c>
      <c r="F180" s="86" t="str">
        <f t="shared" si="56"/>
        <v>0.994625843862848-0.115152936418678j</v>
      </c>
      <c r="G180" s="86">
        <f t="shared" si="57"/>
        <v>1.102042117457548E-2</v>
      </c>
      <c r="H180" s="86">
        <f t="shared" si="58"/>
        <v>-6.6040245380665592</v>
      </c>
      <c r="J180" s="86">
        <f t="shared" si="59"/>
        <v>8.3707025411061284</v>
      </c>
      <c r="K180" s="86" t="str">
        <f t="shared" si="60"/>
        <v>1+5.63588904109064j</v>
      </c>
      <c r="L180" s="86">
        <f t="shared" si="61"/>
        <v>-1.0127395140795876</v>
      </c>
      <c r="M180" s="86" t="str">
        <f t="shared" si="62"/>
        <v>0.38663140602496j</v>
      </c>
      <c r="N180" s="86" t="str">
        <f t="shared" si="63"/>
        <v>-1.01273951407959+0.38663140602496j</v>
      </c>
      <c r="O180" s="86" t="str">
        <f t="shared" si="64"/>
        <v>0.992466353653317-5.18610196040246j</v>
      </c>
      <c r="P180" s="86" t="str">
        <f t="shared" si="65"/>
        <v>8.30764062848815-43.4113168583763j</v>
      </c>
      <c r="R180" s="86">
        <f t="shared" si="66"/>
        <v>11.958146487294469</v>
      </c>
      <c r="S180" s="86" t="str">
        <f t="shared" si="67"/>
        <v>1+0.00984557606379697j</v>
      </c>
      <c r="T180" s="86" t="str">
        <f t="shared" si="68"/>
        <v>-1.01273951407959+0.38663140602496j</v>
      </c>
      <c r="U180" s="86" t="str">
        <f t="shared" si="69"/>
        <v>-0.858574842122375-0.337498013753186j</v>
      </c>
      <c r="V180" s="86" t="str">
        <f t="shared" si="70"/>
        <v>-10.2669637324051-4.03585068763152j</v>
      </c>
      <c r="X180" s="86" t="str">
        <f t="shared" si="71"/>
        <v>0.135100802093406-1.82675589329795j</v>
      </c>
      <c r="Y180" s="86">
        <f t="shared" si="72"/>
        <v>5.257299745338214</v>
      </c>
      <c r="Z180" s="86">
        <f t="shared" si="73"/>
        <v>94.229705294116002</v>
      </c>
      <c r="AB180" s="86" t="str">
        <f t="shared" si="74"/>
        <v>-4.77477251661326-1.87691993920617j</v>
      </c>
      <c r="AC180" s="86">
        <f t="shared" si="75"/>
        <v>14.203070223517024</v>
      </c>
      <c r="AD180" s="86">
        <f t="shared" si="76"/>
        <v>21.459341252498149</v>
      </c>
      <c r="AF180" s="86" t="str">
        <f t="shared" si="77"/>
        <v>-0.430478318016601-2.34631033531841j</v>
      </c>
      <c r="AG180" s="86">
        <f t="shared" si="78"/>
        <v>7.5514918916090661</v>
      </c>
      <c r="AH180" s="86">
        <f t="shared" si="79"/>
        <v>79.603548602547804</v>
      </c>
      <c r="AJ180" s="86" t="str">
        <f t="shared" si="80"/>
        <v>73959.5347906816-47913.8640329448j</v>
      </c>
      <c r="AK180" s="86" t="str">
        <f t="shared" si="81"/>
        <v>20000-0.0000525097390069172j</v>
      </c>
      <c r="AL180" s="86" t="str">
        <f t="shared" si="95"/>
        <v>10000-169280.766901506j</v>
      </c>
      <c r="AM180" s="86" t="str">
        <f t="shared" si="96"/>
        <v>961.543176456296-52574.5839893602j</v>
      </c>
      <c r="AN180" s="86" t="str">
        <f t="shared" si="97"/>
        <v>10961.5431764563-52574.5839893602j</v>
      </c>
      <c r="AO180" s="86" t="str">
        <f t="shared" si="98"/>
        <v>16673.2199933665-5649.07484023456j</v>
      </c>
      <c r="AP180" s="86" t="str">
        <f t="shared" si="99"/>
        <v>0.168929189753633+0.0861440002171499j</v>
      </c>
      <c r="AQ180" s="86" t="str">
        <f t="shared" si="82"/>
        <v>1+4.01699503402917j</v>
      </c>
      <c r="AR180" s="86">
        <f t="shared" si="83"/>
        <v>9.4726715979276148E-8</v>
      </c>
      <c r="AS180" s="86" t="str">
        <f t="shared" si="84"/>
        <v>0.00015793222926763j</v>
      </c>
      <c r="AT180" s="86" t="str">
        <f t="shared" si="85"/>
        <v>9.47267159792761E-08+0.00015793222926763j</v>
      </c>
      <c r="AU180" s="86" t="str">
        <f t="shared" si="86"/>
        <v>3.81580764176583-0.947485777711092j</v>
      </c>
      <c r="AW180" s="86" t="str">
        <f t="shared" si="100"/>
        <v>0.735729928857009+0.101536448652936j</v>
      </c>
      <c r="AX180" s="86">
        <f t="shared" si="87"/>
        <v>-2.5836930322201557</v>
      </c>
      <c r="AY180" s="86">
        <f t="shared" si="88"/>
        <v>-172.14237206419972</v>
      </c>
      <c r="AZ180" s="86" t="str">
        <f t="shared" si="89"/>
        <v>-3.3223672589234-1.86571961780501j</v>
      </c>
      <c r="BA180" s="86">
        <f t="shared" si="90"/>
        <v>11.619377191296874</v>
      </c>
      <c r="BB180" s="86">
        <f t="shared" si="91"/>
        <v>29.316969188298401</v>
      </c>
      <c r="BD180" s="86" t="str">
        <f t="shared" si="92"/>
        <v>-0.0784797634029284-1.76995997571377j</v>
      </c>
      <c r="BE180" s="86">
        <f t="shared" si="93"/>
        <v>4.9677988593888953</v>
      </c>
      <c r="BF180" s="86">
        <f t="shared" si="94"/>
        <v>87.46117653834807</v>
      </c>
      <c r="BH180" s="86">
        <f t="shared" si="101"/>
        <v>-3.9677988593888953</v>
      </c>
      <c r="BI180" s="162">
        <f t="shared" si="102"/>
        <v>-87.46117653834807</v>
      </c>
      <c r="BJ180" s="88"/>
      <c r="BK180" s="88"/>
      <c r="BL180" s="88"/>
      <c r="BM180" s="88"/>
      <c r="BN180" s="42"/>
      <c r="BO180" s="42"/>
      <c r="BP180" s="42"/>
    </row>
    <row r="181" spans="1:68" s="86" customFormat="1">
      <c r="A181" s="86">
        <v>117</v>
      </c>
      <c r="B181" s="86">
        <f t="shared" si="52"/>
        <v>21877.616239495524</v>
      </c>
      <c r="C181" s="86" t="str">
        <f t="shared" si="53"/>
        <v>137461.116912112j</v>
      </c>
      <c r="D181" s="86">
        <f t="shared" si="54"/>
        <v>0.99410735497294378</v>
      </c>
      <c r="E181" s="86" t="str">
        <f t="shared" si="55"/>
        <v>-0.120579927115888j</v>
      </c>
      <c r="F181" s="86" t="str">
        <f t="shared" si="56"/>
        <v>0.994107354972944-0.120579927115888j</v>
      </c>
      <c r="G181" s="86">
        <f t="shared" si="57"/>
        <v>1.2095405864873586E-2</v>
      </c>
      <c r="H181" s="86">
        <f t="shared" si="58"/>
        <v>-6.9158884875290596</v>
      </c>
      <c r="J181" s="86">
        <f t="shared" si="59"/>
        <v>8.3707025411061284</v>
      </c>
      <c r="K181" s="86" t="str">
        <f t="shared" si="60"/>
        <v>1+5.90150030857321j</v>
      </c>
      <c r="L181" s="86">
        <f t="shared" si="61"/>
        <v>-1.2069249917040885</v>
      </c>
      <c r="M181" s="86" t="str">
        <f t="shared" si="62"/>
        <v>0.404852782821793j</v>
      </c>
      <c r="N181" s="86" t="str">
        <f t="shared" si="63"/>
        <v>-1.20692499170409+0.404852782821793j</v>
      </c>
      <c r="O181" s="86" t="str">
        <f t="shared" si="64"/>
        <v>0.729564982301455-4.64497291362215j</v>
      </c>
      <c r="P181" s="86" t="str">
        <f t="shared" si="65"/>
        <v>6.10697145125284-38.8816865714261j</v>
      </c>
      <c r="R181" s="86">
        <f t="shared" si="66"/>
        <v>11.958146487294469</v>
      </c>
      <c r="S181" s="86" t="str">
        <f t="shared" si="67"/>
        <v>1+0.0103095837684084j</v>
      </c>
      <c r="T181" s="86" t="str">
        <f t="shared" si="68"/>
        <v>-1.20692499170409+0.404852782821793j</v>
      </c>
      <c r="U181" s="86" t="str">
        <f t="shared" si="69"/>
        <v>-0.742176131573486-0.257498732826011j</v>
      </c>
      <c r="V181" s="86" t="str">
        <f t="shared" si="70"/>
        <v>-8.87505090072928-3.07920756742614j</v>
      </c>
      <c r="X181" s="86" t="str">
        <f t="shared" si="71"/>
        <v>0.0572279240043034-1.63032825175774j</v>
      </c>
      <c r="Y181" s="86">
        <f t="shared" si="72"/>
        <v>4.2508489826663842</v>
      </c>
      <c r="Z181" s="86">
        <f t="shared" si="73"/>
        <v>92.010376004559689</v>
      </c>
      <c r="AB181" s="86" t="str">
        <f t="shared" si="74"/>
        <v>-4.12744704557547-1.43202177869676j</v>
      </c>
      <c r="AC181" s="86">
        <f t="shared" si="75"/>
        <v>12.80726421536607</v>
      </c>
      <c r="AD181" s="86">
        <f t="shared" si="76"/>
        <v>19.134267112478199</v>
      </c>
      <c r="AF181" s="86" t="str">
        <f t="shared" si="77"/>
        <v>-0.537380120717258-2.1831884298827j</v>
      </c>
      <c r="AG181" s="86">
        <f t="shared" si="78"/>
        <v>7.0372881603015109</v>
      </c>
      <c r="AH181" s="86">
        <f t="shared" si="79"/>
        <v>76.17184660072131</v>
      </c>
      <c r="AJ181" s="86" t="str">
        <f t="shared" si="80"/>
        <v>71908.6134138823-48780.6900868619j</v>
      </c>
      <c r="AK181" s="86" t="str">
        <f t="shared" si="81"/>
        <v>20000-0.0000549844467648448j</v>
      </c>
      <c r="AL181" s="86" t="str">
        <f t="shared" si="95"/>
        <v>10000-161661.877346962j</v>
      </c>
      <c r="AM181" s="86" t="str">
        <f t="shared" si="96"/>
        <v>961.389482401477-50211.940661069j</v>
      </c>
      <c r="AN181" s="86" t="str">
        <f t="shared" si="97"/>
        <v>10961.3894824015-50211.940661069j</v>
      </c>
      <c r="AO181" s="86" t="str">
        <f t="shared" si="98"/>
        <v>16441.0627182129-5771.74184672311j</v>
      </c>
      <c r="AP181" s="86" t="str">
        <f t="shared" si="99"/>
        <v>0.169780631229633+0.0901114270086944j</v>
      </c>
      <c r="AQ181" s="86" t="str">
        <f t="shared" si="82"/>
        <v>1+4.20631017751063j</v>
      </c>
      <c r="AR181" s="86">
        <f t="shared" si="83"/>
        <v>9.421795904920605E-8</v>
      </c>
      <c r="AS181" s="86" t="str">
        <f t="shared" si="84"/>
        <v>0.000165375345923455j</v>
      </c>
      <c r="AT181" s="86" t="str">
        <f t="shared" si="85"/>
        <v>9.42179590492061E-08+0.000165375345923455j</v>
      </c>
      <c r="AU181" s="86" t="str">
        <f t="shared" si="86"/>
        <v>3.81575486096908-0.90485366200854j</v>
      </c>
      <c r="AW181" s="86" t="str">
        <f t="shared" si="100"/>
        <v>0.741060088669752+0.119437694658098j</v>
      </c>
      <c r="AX181" s="86">
        <f t="shared" si="87"/>
        <v>-2.4915585645267933</v>
      </c>
      <c r="AY181" s="86">
        <f t="shared" si="88"/>
        <v>-170.84429387544316</v>
      </c>
      <c r="AZ181" s="86" t="str">
        <f t="shared" si="89"/>
        <v>-2.88764889362613-1.55418694624495j</v>
      </c>
      <c r="BA181" s="86">
        <f t="shared" si="90"/>
        <v>10.315705650839266</v>
      </c>
      <c r="BB181" s="86">
        <f t="shared" si="91"/>
        <v>28.28997323703507</v>
      </c>
      <c r="BD181" s="86" t="str">
        <f t="shared" si="92"/>
        <v>-0.13747596683867-1.68205725420521j</v>
      </c>
      <c r="BE181" s="86">
        <f t="shared" si="93"/>
        <v>4.5457295957747155</v>
      </c>
      <c r="BF181" s="86">
        <f t="shared" si="94"/>
        <v>85.327552725278181</v>
      </c>
      <c r="BH181" s="86">
        <f t="shared" si="101"/>
        <v>-3.5457295957747155</v>
      </c>
      <c r="BI181" s="162">
        <f t="shared" si="102"/>
        <v>-85.327552725278181</v>
      </c>
      <c r="BJ181" s="88"/>
      <c r="BK181" s="88"/>
      <c r="BL181" s="88"/>
      <c r="BM181" s="88"/>
      <c r="BN181" s="42"/>
      <c r="BO181" s="42"/>
      <c r="BP181" s="42"/>
    </row>
    <row r="182" spans="1:68" s="86" customFormat="1">
      <c r="A182" s="86">
        <v>118</v>
      </c>
      <c r="B182" s="86">
        <f t="shared" si="52"/>
        <v>22908.676527677744</v>
      </c>
      <c r="C182" s="86" t="str">
        <f t="shared" si="53"/>
        <v>143939.459765635j</v>
      </c>
      <c r="D182" s="86">
        <f t="shared" si="54"/>
        <v>0.99353884321022123</v>
      </c>
      <c r="E182" s="86" t="str">
        <f t="shared" si="55"/>
        <v>-0.126262684004943j</v>
      </c>
      <c r="F182" s="86" t="str">
        <f t="shared" si="56"/>
        <v>0.993538843210221-0.126262684004943j</v>
      </c>
      <c r="G182" s="86">
        <f t="shared" si="57"/>
        <v>1.3276473019153467E-2</v>
      </c>
      <c r="H182" s="86">
        <f t="shared" si="58"/>
        <v>-7.2425417397988934</v>
      </c>
      <c r="J182" s="86">
        <f t="shared" si="59"/>
        <v>8.3707025411061284</v>
      </c>
      <c r="K182" s="86" t="str">
        <f t="shared" si="60"/>
        <v>1+6.17962944943821j</v>
      </c>
      <c r="L182" s="86">
        <f t="shared" si="61"/>
        <v>-1.4198451339270273</v>
      </c>
      <c r="M182" s="86" t="str">
        <f t="shared" si="62"/>
        <v>0.423932906650551j</v>
      </c>
      <c r="N182" s="86" t="str">
        <f t="shared" si="63"/>
        <v>-1.41984513392703+0.423932906650551j</v>
      </c>
      <c r="O182" s="86" t="str">
        <f t="shared" si="64"/>
        <v>0.546483784367849-4.18915897809418j</v>
      </c>
      <c r="P182" s="86" t="str">
        <f t="shared" si="65"/>
        <v>4.57445320248125-35.0662037030305j</v>
      </c>
      <c r="R182" s="86">
        <f t="shared" si="66"/>
        <v>11.958146487294469</v>
      </c>
      <c r="S182" s="86" t="str">
        <f t="shared" si="67"/>
        <v>1+0.0107954594824226j</v>
      </c>
      <c r="T182" s="86" t="str">
        <f t="shared" si="68"/>
        <v>-1.41984513392703+0.423932906650551j</v>
      </c>
      <c r="U182" s="86" t="str">
        <f t="shared" si="69"/>
        <v>-0.644569803337831-0.200056895617182j</v>
      </c>
      <c r="V182" s="86" t="str">
        <f t="shared" si="70"/>
        <v>-7.70786012960037-2.39230966358364j</v>
      </c>
      <c r="X182" s="86" t="str">
        <f t="shared" si="71"/>
        <v>0.0048569244887901-1.46593634105944j</v>
      </c>
      <c r="Y182" s="86">
        <f t="shared" si="72"/>
        <v>3.322349898864918</v>
      </c>
      <c r="Z182" s="86">
        <f t="shared" si="73"/>
        <v>90.189831064679893</v>
      </c>
      <c r="AB182" s="86" t="str">
        <f t="shared" si="74"/>
        <v>-3.58463121794758-1.11257181096827j</v>
      </c>
      <c r="AC182" s="86">
        <f t="shared" si="75"/>
        <v>11.488307538218205</v>
      </c>
      <c r="AD182" s="86">
        <f t="shared" si="76"/>
        <v>17.242918121952812</v>
      </c>
      <c r="AF182" s="86" t="str">
        <f t="shared" si="77"/>
        <v>-0.624015516300545-2.0175397952595j</v>
      </c>
      <c r="AG182" s="86">
        <f t="shared" si="78"/>
        <v>6.4932143919868048</v>
      </c>
      <c r="AH182" s="86">
        <f t="shared" si="79"/>
        <v>72.813409061872221</v>
      </c>
      <c r="AJ182" s="86" t="str">
        <f t="shared" si="80"/>
        <v>69786.7007344245-49572.3711125305j</v>
      </c>
      <c r="AK182" s="86" t="str">
        <f t="shared" si="81"/>
        <v>20000-0.000057575783906254j</v>
      </c>
      <c r="AL182" s="86" t="str">
        <f t="shared" si="95"/>
        <v>10000-154385.894308655j</v>
      </c>
      <c r="AM182" s="86" t="str">
        <f t="shared" si="96"/>
        <v>961.221016683927-47955.8023269865j</v>
      </c>
      <c r="AN182" s="86" t="str">
        <f t="shared" si="97"/>
        <v>10961.2210166839-47955.8023269865j</v>
      </c>
      <c r="AO182" s="86" t="str">
        <f t="shared" si="98"/>
        <v>16199.1606202538-5887.11606599539j</v>
      </c>
      <c r="AP182" s="86" t="str">
        <f t="shared" si="99"/>
        <v>0.170712215273826+0.0942523689146405j</v>
      </c>
      <c r="AQ182" s="86" t="str">
        <f t="shared" si="82"/>
        <v>1+4.40454746882843j</v>
      </c>
      <c r="AR182" s="86">
        <f t="shared" si="83"/>
        <v>9.3660118168247383E-8</v>
      </c>
      <c r="AS182" s="86" t="str">
        <f t="shared" si="84"/>
        <v>0.000173169245860242j</v>
      </c>
      <c r="AT182" s="86" t="str">
        <f t="shared" si="85"/>
        <v>9.36601181682474E-08+0.000173169245860242j</v>
      </c>
      <c r="AU182" s="86" t="str">
        <f t="shared" si="86"/>
        <v>3.81570672423142-0.86414085661656j</v>
      </c>
      <c r="AW182" s="86" t="str">
        <f t="shared" si="100"/>
        <v>0.746882943768417+0.137432017772475j</v>
      </c>
      <c r="AX182" s="86">
        <f t="shared" si="87"/>
        <v>-2.3903371394054211</v>
      </c>
      <c r="AY182" s="86">
        <f t="shared" si="88"/>
        <v>-169.57377920480306</v>
      </c>
      <c r="AZ182" s="86" t="str">
        <f t="shared" si="89"/>
        <v>-2.52439692748671-1.32360401058248j</v>
      </c>
      <c r="BA182" s="86">
        <f t="shared" si="90"/>
        <v>9.0979703988127838</v>
      </c>
      <c r="BB182" s="86">
        <f t="shared" si="91"/>
        <v>27.669138917149695</v>
      </c>
      <c r="BD182" s="86" t="str">
        <f t="shared" si="92"/>
        <v>-0.188791980772941-1.59262577297987j</v>
      </c>
      <c r="BE182" s="86">
        <f t="shared" si="93"/>
        <v>4.102877252581429</v>
      </c>
      <c r="BF182" s="86">
        <f t="shared" si="94"/>
        <v>83.239629857069176</v>
      </c>
      <c r="BH182" s="86">
        <f t="shared" si="101"/>
        <v>-3.102877252581429</v>
      </c>
      <c r="BI182" s="162">
        <f t="shared" si="102"/>
        <v>-83.239629857069176</v>
      </c>
      <c r="BJ182" s="88"/>
      <c r="BK182" s="88"/>
      <c r="BL182" s="88"/>
      <c r="BM182" s="88"/>
      <c r="BN182" s="42"/>
      <c r="BO182" s="42"/>
      <c r="BP182" s="42"/>
    </row>
    <row r="183" spans="1:68" s="86" customFormat="1">
      <c r="A183" s="86">
        <v>119</v>
      </c>
      <c r="B183" s="86">
        <f t="shared" si="52"/>
        <v>23988.329190194912</v>
      </c>
      <c r="C183" s="86" t="str">
        <f t="shared" si="53"/>
        <v>150723.11751162j</v>
      </c>
      <c r="D183" s="86">
        <f t="shared" si="54"/>
        <v>0.9929154824581452</v>
      </c>
      <c r="E183" s="86" t="str">
        <f t="shared" si="55"/>
        <v>-0.132213260975105j</v>
      </c>
      <c r="F183" s="86" t="str">
        <f t="shared" si="56"/>
        <v>0.992915482458145-0.132213260975105j</v>
      </c>
      <c r="G183" s="86">
        <f t="shared" si="57"/>
        <v>1.4574334193637347E-2</v>
      </c>
      <c r="H183" s="86">
        <f t="shared" si="58"/>
        <v>-7.5846945763963873</v>
      </c>
      <c r="J183" s="86">
        <f t="shared" si="59"/>
        <v>8.3707025411061284</v>
      </c>
      <c r="K183" s="86" t="str">
        <f t="shared" si="60"/>
        <v>1+6.4708664128828j</v>
      </c>
      <c r="L183" s="86">
        <f t="shared" si="61"/>
        <v>-1.6533074273941555</v>
      </c>
      <c r="M183" s="86" t="str">
        <f t="shared" si="62"/>
        <v>0.443912249011989j</v>
      </c>
      <c r="N183" s="86" t="str">
        <f t="shared" si="63"/>
        <v>-1.65330742739416+0.443912249011989j</v>
      </c>
      <c r="O183" s="86" t="str">
        <f t="shared" si="64"/>
        <v>0.416036951149834-3.80218609683117j</v>
      </c>
      <c r="P183" s="86" t="str">
        <f t="shared" si="65"/>
        <v>3.48252156418396-31.8269688225031j</v>
      </c>
      <c r="R183" s="86">
        <f t="shared" si="66"/>
        <v>11.958146487294469</v>
      </c>
      <c r="S183" s="86" t="str">
        <f t="shared" si="67"/>
        <v>1+0.0113042338133715j</v>
      </c>
      <c r="T183" s="86" t="str">
        <f t="shared" si="68"/>
        <v>-1.65330742739416+0.443912249011989j</v>
      </c>
      <c r="U183" s="86" t="str">
        <f t="shared" si="69"/>
        <v>-0.562463265958145-0.157858461691444j</v>
      </c>
      <c r="V183" s="86" t="str">
        <f t="shared" si="70"/>
        <v>-6.72601812804957-1.88769460916525j</v>
      </c>
      <c r="X183" s="86" t="str">
        <f t="shared" si="71"/>
        <v>-0.031046920552937-1.32705910684377j</v>
      </c>
      <c r="Y183" s="86">
        <f t="shared" si="72"/>
        <v>2.4601817465240976</v>
      </c>
      <c r="Z183" s="86">
        <f t="shared" si="73"/>
        <v>88.659793625017002</v>
      </c>
      <c r="AB183" s="86" t="str">
        <f t="shared" si="74"/>
        <v>-3.12801402060962-0.877894631219255j</v>
      </c>
      <c r="AC183" s="86">
        <f t="shared" si="75"/>
        <v>10.234652610463712</v>
      </c>
      <c r="AD183" s="86">
        <f t="shared" si="76"/>
        <v>15.677072439459096</v>
      </c>
      <c r="AF183" s="86" t="str">
        <f t="shared" si="77"/>
        <v>-0.691078221959597-1.85251104236798j</v>
      </c>
      <c r="AG183" s="86">
        <f t="shared" si="78"/>
        <v>5.921085834686969</v>
      </c>
      <c r="AH183" s="86">
        <f t="shared" si="79"/>
        <v>69.541997516983642</v>
      </c>
      <c r="AJ183" s="86" t="str">
        <f t="shared" si="80"/>
        <v>67599.4930040612-50281.7592275798j</v>
      </c>
      <c r="AK183" s="86" t="str">
        <f t="shared" si="81"/>
        <v>20000-0.000060289247004648j</v>
      </c>
      <c r="AL183" s="86" t="str">
        <f t="shared" si="95"/>
        <v>10000-147437.384451055j</v>
      </c>
      <c r="AM183" s="86" t="str">
        <f t="shared" si="96"/>
        <v>961.036365544833-45801.3832287243j</v>
      </c>
      <c r="AN183" s="86" t="str">
        <f t="shared" si="97"/>
        <v>10961.0363655448-45801.3832287243j</v>
      </c>
      <c r="AO183" s="86" t="str">
        <f t="shared" si="98"/>
        <v>15947.9756600589-5994.25410551296j</v>
      </c>
      <c r="AP183" s="86" t="str">
        <f t="shared" si="99"/>
        <v>0.171731276886412+0.0985730666947055j</v>
      </c>
      <c r="AQ183" s="86" t="str">
        <f t="shared" si="82"/>
        <v>1+4.61212739585557j</v>
      </c>
      <c r="AR183" s="86">
        <f t="shared" si="83"/>
        <v>9.3048457805358983E-8</v>
      </c>
      <c r="AS183" s="86" t="str">
        <f t="shared" si="84"/>
        <v>0.000181330460984705j</v>
      </c>
      <c r="AT183" s="86" t="str">
        <f t="shared" si="85"/>
        <v>9.3048457805359E-08+0.000181330460984705j</v>
      </c>
      <c r="AU183" s="86" t="str">
        <f t="shared" si="86"/>
        <v>3.81566282291916-0.825261004941936j</v>
      </c>
      <c r="AW183" s="86" t="str">
        <f t="shared" si="100"/>
        <v>0.753241342127861+0.155534766703399j</v>
      </c>
      <c r="AX183" s="86">
        <f t="shared" si="87"/>
        <v>-2.2799856916868841</v>
      </c>
      <c r="AY183" s="86">
        <f t="shared" si="88"/>
        <v>-168.33311882425696</v>
      </c>
      <c r="AZ183" s="86" t="str">
        <f t="shared" si="89"/>
        <v>-2.2196063424219-1.14778146120691j</v>
      </c>
      <c r="BA183" s="86">
        <f t="shared" si="90"/>
        <v>7.9546669187768124</v>
      </c>
      <c r="BB183" s="86">
        <f t="shared" si="91"/>
        <v>27.343953615202111</v>
      </c>
      <c r="BD183" s="86" t="str">
        <f t="shared" si="92"/>
        <v>-0.23241881463401-1.50287459388622j</v>
      </c>
      <c r="BE183" s="86">
        <f t="shared" si="93"/>
        <v>3.6411001430000551</v>
      </c>
      <c r="BF183" s="86">
        <f t="shared" si="94"/>
        <v>81.2088786927266</v>
      </c>
      <c r="BH183" s="86">
        <f t="shared" si="101"/>
        <v>-2.6411001430000551</v>
      </c>
      <c r="BI183" s="162">
        <f t="shared" si="102"/>
        <v>-81.2088786927266</v>
      </c>
      <c r="BJ183" s="88"/>
      <c r="BK183" s="88"/>
      <c r="BL183" s="88"/>
      <c r="BM183" s="88"/>
      <c r="BN183" s="42"/>
      <c r="BO183" s="42"/>
      <c r="BP183" s="42"/>
    </row>
    <row r="184" spans="1:68" s="86" customFormat="1">
      <c r="A184" s="86">
        <v>120</v>
      </c>
      <c r="B184" s="86">
        <f t="shared" si="52"/>
        <v>25118.864315095805</v>
      </c>
      <c r="C184" s="86" t="str">
        <f t="shared" si="53"/>
        <v>157826.479197648j</v>
      </c>
      <c r="D184" s="86">
        <f t="shared" si="54"/>
        <v>0.9922319809851623</v>
      </c>
      <c r="E184" s="86" t="str">
        <f t="shared" si="55"/>
        <v>-0.138444279997937j</v>
      </c>
      <c r="F184" s="86" t="str">
        <f t="shared" si="56"/>
        <v>0.992231980985162-0.138444279997937j</v>
      </c>
      <c r="G184" s="86">
        <f t="shared" si="57"/>
        <v>1.6000830059786315E-2</v>
      </c>
      <c r="H184" s="86">
        <f t="shared" si="58"/>
        <v>-7.9430926465767264</v>
      </c>
      <c r="J184" s="86">
        <f t="shared" si="59"/>
        <v>8.3707025411061284</v>
      </c>
      <c r="K184" s="86" t="str">
        <f t="shared" si="60"/>
        <v>1+6.77582895155331j</v>
      </c>
      <c r="L184" s="86">
        <f t="shared" si="61"/>
        <v>-1.9092937418024665</v>
      </c>
      <c r="M184" s="86" t="str">
        <f t="shared" si="62"/>
        <v>0.464833188769934j</v>
      </c>
      <c r="N184" s="86" t="str">
        <f t="shared" si="63"/>
        <v>-1.90929374180247+0.464833188769934j</v>
      </c>
      <c r="O184" s="86" t="str">
        <f t="shared" si="64"/>
        <v>0.32120815073705-3.47066593133623j</v>
      </c>
      <c r="P184" s="86" t="str">
        <f t="shared" si="65"/>
        <v>2.68873788359862-29.0519121307666j</v>
      </c>
      <c r="R184" s="86">
        <f t="shared" si="66"/>
        <v>11.958146487294469</v>
      </c>
      <c r="S184" s="86" t="str">
        <f t="shared" si="67"/>
        <v>1+0.0118369859398236j</v>
      </c>
      <c r="T184" s="86" t="str">
        <f t="shared" si="68"/>
        <v>-1.90929374180247+0.464833188769934j</v>
      </c>
      <c r="U184" s="86" t="str">
        <f t="shared" si="69"/>
        <v>-0.493022163138537-0.126229948220662j</v>
      </c>
      <c r="V184" s="86" t="str">
        <f t="shared" si="70"/>
        <v>-5.89563124829342-1.50947621190627j</v>
      </c>
      <c r="X184" s="86" t="str">
        <f t="shared" si="71"/>
        <v>-0.0560518145237963-1.20853952621784j</v>
      </c>
      <c r="Y184" s="86">
        <f t="shared" si="72"/>
        <v>1.6545491896683182</v>
      </c>
      <c r="Z184" s="86">
        <f t="shared" si="73"/>
        <v>87.344536488809567</v>
      </c>
      <c r="AB184" s="86" t="str">
        <f t="shared" si="74"/>
        <v>-2.74183281310212-0.701999706918529j</v>
      </c>
      <c r="AC184" s="86">
        <f t="shared" si="75"/>
        <v>9.0365695536014776</v>
      </c>
      <c r="AD184" s="86">
        <f t="shared" si="76"/>
        <v>14.361111514707176</v>
      </c>
      <c r="AF184" s="86" t="str">
        <f t="shared" si="77"/>
        <v>-0.739815148778174-1.69087200004149j</v>
      </c>
      <c r="AG184" s="86">
        <f t="shared" si="78"/>
        <v>5.3229240254072199</v>
      </c>
      <c r="AH184" s="86">
        <f t="shared" si="79"/>
        <v>66.368954233691852</v>
      </c>
      <c r="AJ184" s="86" t="str">
        <f t="shared" si="80"/>
        <v>65353.6109059864-50902.2070904348j</v>
      </c>
      <c r="AK184" s="86" t="str">
        <f t="shared" si="81"/>
        <v>20000-0.0000631305916790592j</v>
      </c>
      <c r="AL184" s="86" t="str">
        <f t="shared" si="95"/>
        <v>10000-140801.609053149j</v>
      </c>
      <c r="AM184" s="86" t="str">
        <f t="shared" si="96"/>
        <v>960.833981119823-43744.1133405981j</v>
      </c>
      <c r="AN184" s="86" t="str">
        <f t="shared" si="97"/>
        <v>10960.8339811198-43744.1133405981j</v>
      </c>
      <c r="AO184" s="86" t="str">
        <f t="shared" si="98"/>
        <v>15688.0873041625-6092.23890732621j</v>
      </c>
      <c r="AP184" s="86" t="str">
        <f t="shared" si="99"/>
        <v>0.172845780967712+0.103079782939688j</v>
      </c>
      <c r="AQ184" s="86" t="str">
        <f t="shared" si="82"/>
        <v>1+4.82949026344803j</v>
      </c>
      <c r="AR184" s="86">
        <f t="shared" si="83"/>
        <v>9.2377785554006766E-8</v>
      </c>
      <c r="AS184" s="86" t="str">
        <f t="shared" si="84"/>
        <v>0.000189876302328314j</v>
      </c>
      <c r="AT184" s="86" t="str">
        <f t="shared" si="85"/>
        <v>9.23777855540068E-08+0.000189876302328314j</v>
      </c>
      <c r="AU184" s="86" t="str">
        <f t="shared" si="86"/>
        <v>3.8156227843533-0.788131638238443j</v>
      </c>
      <c r="AW184" s="86" t="str">
        <f t="shared" si="100"/>
        <v>0.76018139613362+0.17375837198923j</v>
      </c>
      <c r="AX184" s="86">
        <f t="shared" si="87"/>
        <v>-2.1604804611342456</v>
      </c>
      <c r="AY184" s="86">
        <f t="shared" si="88"/>
        <v>-167.12481046457214</v>
      </c>
      <c r="AZ184" s="86" t="str">
        <f t="shared" si="89"/>
        <v>-1.96231196961786-1.01006352316199j</v>
      </c>
      <c r="BA184" s="86">
        <f t="shared" si="90"/>
        <v>6.8760890924672244</v>
      </c>
      <c r="BB184" s="86">
        <f t="shared" si="91"/>
        <v>27.236301050134927</v>
      </c>
      <c r="BD184" s="86" t="str">
        <f t="shared" si="92"/>
        <v>-0.268590546709614-1.41391851349945j</v>
      </c>
      <c r="BE184" s="86">
        <f t="shared" si="93"/>
        <v>3.1624435642729658</v>
      </c>
      <c r="BF184" s="86">
        <f t="shared" si="94"/>
        <v>79.244143769119589</v>
      </c>
      <c r="BH184" s="86">
        <f t="shared" si="101"/>
        <v>-2.1624435642729658</v>
      </c>
      <c r="BI184" s="162">
        <f t="shared" si="102"/>
        <v>-79.244143769119589</v>
      </c>
      <c r="BJ184" s="88"/>
      <c r="BK184" s="88"/>
      <c r="BL184" s="88"/>
      <c r="BM184" s="88"/>
      <c r="BN184" s="42"/>
      <c r="BO184" s="42"/>
      <c r="BP184" s="42"/>
    </row>
    <row r="185" spans="1:68" s="86" customFormat="1">
      <c r="A185" s="86">
        <v>121</v>
      </c>
      <c r="B185" s="86">
        <f t="shared" si="52"/>
        <v>26302.679918953818</v>
      </c>
      <c r="C185" s="86" t="str">
        <f t="shared" si="53"/>
        <v>165264.612006218j</v>
      </c>
      <c r="D185" s="86">
        <f t="shared" si="54"/>
        <v>0.99148253652300478</v>
      </c>
      <c r="E185" s="86" t="str">
        <f t="shared" si="55"/>
        <v>-0.144968957900191j</v>
      </c>
      <c r="F185" s="86" t="str">
        <f t="shared" si="56"/>
        <v>0.991482536523005-0.144968957900191j</v>
      </c>
      <c r="G185" s="86">
        <f t="shared" si="57"/>
        <v>1.7569058442775655E-2</v>
      </c>
      <c r="H185" s="86">
        <f t="shared" si="58"/>
        <v>-8.3185188953079159</v>
      </c>
      <c r="J185" s="86">
        <f t="shared" si="59"/>
        <v>8.3707025411061284</v>
      </c>
      <c r="K185" s="86" t="str">
        <f t="shared" si="60"/>
        <v>1+7.09516393188124j</v>
      </c>
      <c r="L185" s="86">
        <f t="shared" si="61"/>
        <v>-2.1899771540622059</v>
      </c>
      <c r="M185" s="86" t="str">
        <f t="shared" si="62"/>
        <v>0.486740102042529j</v>
      </c>
      <c r="N185" s="86" t="str">
        <f t="shared" si="63"/>
        <v>-2.18997715406221+0.486740102042529j</v>
      </c>
      <c r="O185" s="86" t="str">
        <f t="shared" si="64"/>
        <v>0.251052013729685-3.18403634310351j</v>
      </c>
      <c r="P185" s="86" t="str">
        <f t="shared" si="65"/>
        <v>2.10148172927688-26.6526211081908j</v>
      </c>
      <c r="R185" s="86">
        <f t="shared" si="66"/>
        <v>11.958146487294469</v>
      </c>
      <c r="S185" s="86" t="str">
        <f t="shared" si="67"/>
        <v>1+0.0123948459004663j</v>
      </c>
      <c r="T185" s="86" t="str">
        <f t="shared" si="68"/>
        <v>-2.18997715406221+0.486740102042529j</v>
      </c>
      <c r="U185" s="86" t="str">
        <f t="shared" si="69"/>
        <v>-0.43393216681495-0.102104733211824j</v>
      </c>
      <c r="V185" s="86" t="str">
        <f t="shared" si="70"/>
        <v>-5.18902441632227-1.22098335679311j</v>
      </c>
      <c r="X185" s="86" t="str">
        <f t="shared" si="71"/>
        <v>-0.0736842057123387-1.10637872181565j</v>
      </c>
      <c r="Y185" s="86">
        <f t="shared" si="72"/>
        <v>0.89729676918315138</v>
      </c>
      <c r="Z185" s="86">
        <f t="shared" si="73"/>
        <v>86.189759819371147</v>
      </c>
      <c r="AB185" s="86" t="str">
        <f t="shared" si="74"/>
        <v>-2.41321697600725-0.56783270372888j</v>
      </c>
      <c r="AC185" s="86">
        <f t="shared" si="75"/>
        <v>7.885960998445233</v>
      </c>
      <c r="AD185" s="86">
        <f t="shared" si="76"/>
        <v>13.240901118492161</v>
      </c>
      <c r="AF185" s="86" t="str">
        <f t="shared" si="77"/>
        <v>-0.771882280748518-1.5349266887854j</v>
      </c>
      <c r="AG185" s="86">
        <f t="shared" si="78"/>
        <v>4.700872513972838</v>
      </c>
      <c r="AH185" s="86">
        <f t="shared" si="79"/>
        <v>63.303140713774113</v>
      </c>
      <c r="AJ185" s="86" t="str">
        <f t="shared" si="80"/>
        <v>63056.5438266133-51427.7102585444j</v>
      </c>
      <c r="AK185" s="86" t="str">
        <f t="shared" si="81"/>
        <v>20000-0.0000661058448024872j</v>
      </c>
      <c r="AL185" s="86" t="str">
        <f t="shared" si="95"/>
        <v>10000-134464.492745647j</v>
      </c>
      <c r="AM185" s="86" t="str">
        <f t="shared" si="96"/>
        <v>960.612168960553-41779.6286719774j</v>
      </c>
      <c r="AN185" s="86" t="str">
        <f t="shared" si="97"/>
        <v>10960.6121689606-41779.6286719774j</v>
      </c>
      <c r="AO185" s="86" t="str">
        <f t="shared" si="98"/>
        <v>15420.191837716-6180.19705392458j</v>
      </c>
      <c r="AP185" s="86" t="str">
        <f t="shared" si="99"/>
        <v>0.174064368144508+0.107778766419183j</v>
      </c>
      <c r="AQ185" s="86" t="str">
        <f t="shared" si="82"/>
        <v>1+5.05709712739027j</v>
      </c>
      <c r="AR185" s="86">
        <f t="shared" si="83"/>
        <v>9.1642408053640868E-8</v>
      </c>
      <c r="AS185" s="86" t="str">
        <f t="shared" si="84"/>
        <v>0.000198824896766321j</v>
      </c>
      <c r="AT185" s="86" t="str">
        <f t="shared" si="85"/>
        <v>9.16424080536409E-08+0.000198824896766321j</v>
      </c>
      <c r="AU185" s="86" t="str">
        <f t="shared" si="86"/>
        <v>3.81558626864554-0.752674000691619j</v>
      </c>
      <c r="AW185" s="86" t="str">
        <f t="shared" si="100"/>
        <v>0.767752630059586+0.192111963673244j</v>
      </c>
      <c r="AX185" s="86">
        <f t="shared" si="87"/>
        <v>-2.0318215029565869</v>
      </c>
      <c r="AY185" s="86">
        <f t="shared" si="88"/>
        <v>-165.95154937867966</v>
      </c>
      <c r="AZ185" s="86" t="str">
        <f t="shared" si="89"/>
        <v>-1.74366622448276-0.899562903752054j</v>
      </c>
      <c r="BA185" s="86">
        <f t="shared" si="90"/>
        <v>5.8541394954886297</v>
      </c>
      <c r="BB185" s="86">
        <f t="shared" si="91"/>
        <v>27.289351739812588</v>
      </c>
      <c r="BD185" s="86" t="str">
        <f t="shared" si="92"/>
        <v>-0.297736870864032-1.32673182294282j</v>
      </c>
      <c r="BE185" s="86">
        <f t="shared" si="93"/>
        <v>2.6690510110162347</v>
      </c>
      <c r="BF185" s="86">
        <f t="shared" si="94"/>
        <v>77.35159133509444</v>
      </c>
      <c r="BH185" s="86">
        <f t="shared" si="101"/>
        <v>-1.6690510110162347</v>
      </c>
      <c r="BI185" s="162">
        <f t="shared" si="102"/>
        <v>-77.35159133509444</v>
      </c>
      <c r="BJ185" s="88"/>
      <c r="BK185" s="88"/>
      <c r="BL185" s="88"/>
      <c r="BM185" s="88"/>
      <c r="BN185" s="42"/>
      <c r="BO185" s="42"/>
      <c r="BP185" s="42"/>
    </row>
    <row r="186" spans="1:68" s="86" customFormat="1">
      <c r="A186" s="86">
        <v>122</v>
      </c>
      <c r="B186" s="86">
        <f t="shared" si="52"/>
        <v>27542.287033381683</v>
      </c>
      <c r="C186" s="86" t="str">
        <f t="shared" si="53"/>
        <v>173053.293214267j</v>
      </c>
      <c r="D186" s="86">
        <f t="shared" si="54"/>
        <v>0.99066078701102878</v>
      </c>
      <c r="E186" s="86" t="str">
        <f t="shared" si="55"/>
        <v>-0.15180113439848j</v>
      </c>
      <c r="F186" s="86" t="str">
        <f t="shared" si="56"/>
        <v>0.990660787011029-0.15180113439848j</v>
      </c>
      <c r="G186" s="86">
        <f t="shared" si="57"/>
        <v>1.9293518496304132E-2</v>
      </c>
      <c r="H186" s="86">
        <f t="shared" si="58"/>
        <v>-8.7117956158043093</v>
      </c>
      <c r="J186" s="86">
        <f t="shared" si="59"/>
        <v>8.3707025411061284</v>
      </c>
      <c r="K186" s="86" t="str">
        <f t="shared" si="60"/>
        <v>1+7.42954870617394j</v>
      </c>
      <c r="L186" s="86">
        <f t="shared" si="61"/>
        <v>-2.4977403956241266</v>
      </c>
      <c r="M186" s="86" t="str">
        <f t="shared" si="62"/>
        <v>0.509679456329942j</v>
      </c>
      <c r="N186" s="86" t="str">
        <f t="shared" si="63"/>
        <v>-2.49774039562413+0.509679456329942j</v>
      </c>
      <c r="O186" s="86" t="str">
        <f t="shared" si="64"/>
        <v>0.198346059951234-2.93403422029438j</v>
      </c>
      <c r="P186" s="86" t="str">
        <f t="shared" si="65"/>
        <v>1.66029586805218-24.5599277035105j</v>
      </c>
      <c r="R186" s="86">
        <f t="shared" si="66"/>
        <v>11.958146487294469</v>
      </c>
      <c r="S186" s="86" t="str">
        <f t="shared" si="67"/>
        <v>1+0.01297899699107j</v>
      </c>
      <c r="T186" s="86" t="str">
        <f t="shared" si="68"/>
        <v>-2.49774039562413+0.509679456329942j</v>
      </c>
      <c r="U186" s="86" t="str">
        <f t="shared" si="69"/>
        <v>-0.383339669969985-0.0834191383284279j</v>
      </c>
      <c r="V186" s="86" t="str">
        <f t="shared" si="70"/>
        <v>-4.5840319278922-0.997538275975221j</v>
      </c>
      <c r="X186" s="86" t="str">
        <f t="shared" si="71"/>
        <v>-0.086234409484263-1.01748575839392j</v>
      </c>
      <c r="Y186" s="86">
        <f t="shared" si="72"/>
        <v>0.18165055490676574</v>
      </c>
      <c r="Z186" s="86">
        <f t="shared" si="73"/>
        <v>85.155619281013145</v>
      </c>
      <c r="AB186" s="86" t="str">
        <f t="shared" si="74"/>
        <v>-2.13185808726433-0.463916934795726j</v>
      </c>
      <c r="AC186" s="86">
        <f t="shared" si="75"/>
        <v>6.7761040394508418</v>
      </c>
      <c r="AD186" s="86">
        <f t="shared" si="76"/>
        <v>12.276822663002264</v>
      </c>
      <c r="AF186" s="86" t="str">
        <f t="shared" si="77"/>
        <v>-0.789195976732194-1.38647440312067j</v>
      </c>
      <c r="AG186" s="86">
        <f t="shared" si="78"/>
        <v>4.0571194270561666</v>
      </c>
      <c r="AH186" s="86">
        <f t="shared" si="79"/>
        <v>60.351007747134005</v>
      </c>
      <c r="AJ186" s="86" t="str">
        <f t="shared" si="80"/>
        <v>60716.5683434674-51853.0423857379j</v>
      </c>
      <c r="AK186" s="86" t="str">
        <f t="shared" si="81"/>
        <v>20000-0.0000692213172857068j</v>
      </c>
      <c r="AL186" s="86" t="str">
        <f t="shared" si="95"/>
        <v>9999.99999999999-128412.593655225j</v>
      </c>
      <c r="AM186" s="86" t="str">
        <f t="shared" si="96"/>
        <v>960.369074444312-39903.7620060803j</v>
      </c>
      <c r="AN186" s="86" t="str">
        <f t="shared" si="97"/>
        <v>10960.3690744443-39903.7620060803j</v>
      </c>
      <c r="AO186" s="86" t="str">
        <f t="shared" si="98"/>
        <v>15145.0986868965-6257.31643591187j</v>
      </c>
      <c r="AP186" s="86" t="str">
        <f t="shared" si="99"/>
        <v>0.175396402234795+0.11267621021258j</v>
      </c>
      <c r="AQ186" s="86" t="str">
        <f t="shared" si="82"/>
        <v>1+5.29543077235657j</v>
      </c>
      <c r="AR186" s="86">
        <f t="shared" si="83"/>
        <v>9.0836082658555239E-8</v>
      </c>
      <c r="AS186" s="86" t="str">
        <f t="shared" si="84"/>
        <v>0.000208195225467288j</v>
      </c>
      <c r="AT186" s="86" t="str">
        <f t="shared" si="85"/>
        <v>9.08360826585552E-08+0.000208195225467288j</v>
      </c>
      <c r="AU186" s="86" t="str">
        <f t="shared" si="86"/>
        <v>3.81555296581333-0.718812882377665j</v>
      </c>
      <c r="AW186" s="86" t="str">
        <f t="shared" si="100"/>
        <v>0.776008111825511+0.210600935450987j</v>
      </c>
      <c r="AX186" s="86">
        <f t="shared" si="87"/>
        <v>-1.8940369856847861</v>
      </c>
      <c r="AY186" s="86">
        <f t="shared" si="88"/>
        <v>-164.81621463013653</v>
      </c>
      <c r="AZ186" s="86" t="str">
        <f t="shared" si="89"/>
        <v>-1.5566378285384-0.808974612041329j</v>
      </c>
      <c r="BA186" s="86">
        <f t="shared" si="90"/>
        <v>4.8820670537660398</v>
      </c>
      <c r="BB186" s="86">
        <f t="shared" si="91"/>
        <v>27.460608032865792</v>
      </c>
      <c r="BD186" s="86" t="str">
        <f t="shared" si="92"/>
        <v>-0.320429673488176-1.24212079461403j</v>
      </c>
      <c r="BE186" s="86">
        <f t="shared" si="93"/>
        <v>2.1630824413713849</v>
      </c>
      <c r="BF186" s="86">
        <f t="shared" si="94"/>
        <v>75.534793116997577</v>
      </c>
      <c r="BH186" s="86">
        <f t="shared" si="101"/>
        <v>-1.1630824413713849</v>
      </c>
      <c r="BI186" s="162">
        <f t="shared" si="102"/>
        <v>-75.534793116997577</v>
      </c>
      <c r="BJ186" s="88"/>
      <c r="BK186" s="88"/>
      <c r="BL186" s="88"/>
      <c r="BM186" s="88"/>
      <c r="BN186" s="42"/>
      <c r="BO186" s="42"/>
      <c r="BP186" s="42"/>
    </row>
    <row r="187" spans="1:68" s="86" customFormat="1">
      <c r="A187" s="86">
        <v>123</v>
      </c>
      <c r="B187" s="86">
        <f t="shared" si="52"/>
        <v>28840.315031266073</v>
      </c>
      <c r="C187" s="86" t="str">
        <f t="shared" si="53"/>
        <v>181209.043658882j</v>
      </c>
      <c r="D187" s="86">
        <f t="shared" si="54"/>
        <v>0.98975975658845583</v>
      </c>
      <c r="E187" s="86" t="str">
        <f t="shared" si="55"/>
        <v>-0.15895530145516j</v>
      </c>
      <c r="F187" s="86" t="str">
        <f t="shared" si="56"/>
        <v>0.989759756588456-0.15895530145516j</v>
      </c>
      <c r="G187" s="86">
        <f t="shared" si="57"/>
        <v>2.1190273309866781E-2</v>
      </c>
      <c r="H187" s="86">
        <f t="shared" si="58"/>
        <v>-9.1237866361844873</v>
      </c>
      <c r="J187" s="86">
        <f t="shared" si="59"/>
        <v>8.3707025411061284</v>
      </c>
      <c r="K187" s="86" t="str">
        <f t="shared" si="60"/>
        <v>1+7.77969254936936j</v>
      </c>
      <c r="L187" s="86">
        <f t="shared" si="61"/>
        <v>-2.8351960795710891</v>
      </c>
      <c r="M187" s="86" t="str">
        <f t="shared" si="62"/>
        <v>0.533699909078144j</v>
      </c>
      <c r="N187" s="86" t="str">
        <f t="shared" si="63"/>
        <v>-2.83519607957109+0.533699909078144j</v>
      </c>
      <c r="O187" s="86" t="str">
        <f t="shared" si="64"/>
        <v>0.158211924851802-2.71418788806488j</v>
      </c>
      <c r="P187" s="86" t="str">
        <f t="shared" si="65"/>
        <v>1.32434496139027-22.7196594516642j</v>
      </c>
      <c r="R187" s="86">
        <f t="shared" si="66"/>
        <v>11.958146487294469</v>
      </c>
      <c r="S187" s="86" t="str">
        <f t="shared" si="67"/>
        <v>1+0.0135906782744161j</v>
      </c>
      <c r="T187" s="86" t="str">
        <f t="shared" si="68"/>
        <v>-2.83519607957109+0.533699909078144j</v>
      </c>
      <c r="U187" s="86" t="str">
        <f t="shared" si="69"/>
        <v>-0.339767410673858-0.0687516873571082j</v>
      </c>
      <c r="V187" s="86" t="str">
        <f t="shared" si="70"/>
        <v>-4.06298846844673-0.822142748664971j</v>
      </c>
      <c r="X187" s="86" t="str">
        <f t="shared" si="71"/>
        <v>-0.0952240987418827-0.939461528267437j</v>
      </c>
      <c r="Y187" s="86">
        <f t="shared" si="72"/>
        <v>-0.49802862377638912</v>
      </c>
      <c r="Z187" s="86">
        <f t="shared" si="73"/>
        <v>84.212249747211459</v>
      </c>
      <c r="AB187" s="86" t="str">
        <f t="shared" si="74"/>
        <v>-1.88954068409001-0.382347177157j</v>
      </c>
      <c r="AC187" s="86">
        <f t="shared" si="75"/>
        <v>5.7014037260138997</v>
      </c>
      <c r="AD187" s="86">
        <f t="shared" si="76"/>
        <v>11.43929998936332</v>
      </c>
      <c r="AF187" s="86" t="str">
        <f t="shared" si="77"/>
        <v>-0.79379528699651-1.2468140553275j</v>
      </c>
      <c r="AG187" s="86">
        <f t="shared" si="78"/>
        <v>3.3938311081925847</v>
      </c>
      <c r="AH187" s="86">
        <f t="shared" si="79"/>
        <v>57.516767419275652</v>
      </c>
      <c r="AJ187" s="86" t="str">
        <f t="shared" si="80"/>
        <v>58342.6420202329-52173.8778913683j</v>
      </c>
      <c r="AK187" s="86" t="str">
        <f t="shared" si="81"/>
        <v>20000-0.0000724836174635528j</v>
      </c>
      <c r="AL187" s="86" t="str">
        <f t="shared" si="95"/>
        <v>10000-122633.074892523j</v>
      </c>
      <c r="AM187" s="86" t="str">
        <f t="shared" si="96"/>
        <v>960.102667982481-38112.5340554906j</v>
      </c>
      <c r="AN187" s="86" t="str">
        <f t="shared" si="97"/>
        <v>10960.1026679825-38112.5340554906j</v>
      </c>
      <c r="AO187" s="86" t="str">
        <f t="shared" si="98"/>
        <v>14863.7236000134-6322.86368780021j</v>
      </c>
      <c r="AP187" s="86" t="str">
        <f t="shared" si="99"/>
        <v>0.17685201901843+0.117778202872732j</v>
      </c>
      <c r="AQ187" s="86" t="str">
        <f t="shared" si="82"/>
        <v>1+5.54499673596179j</v>
      </c>
      <c r="AR187" s="86">
        <f t="shared" si="83"/>
        <v>8.995196444384742E-8</v>
      </c>
      <c r="AS187" s="86" t="str">
        <f t="shared" si="84"/>
        <v>0.000218007164154691j</v>
      </c>
      <c r="AT187" s="86" t="str">
        <f t="shared" si="85"/>
        <v>8.99519644438474E-08+0.000218007164154691j</v>
      </c>
      <c r="AU187" s="86" t="str">
        <f t="shared" si="86"/>
        <v>3.81552259314808-0.68647645974228j</v>
      </c>
      <c r="AW187" s="86" t="str">
        <f t="shared" si="100"/>
        <v>0.785004562510269+0.229226450769826j</v>
      </c>
      <c r="AX187" s="86">
        <f t="shared" si="87"/>
        <v>-1.7471871736725659</v>
      </c>
      <c r="AY187" s="86">
        <f t="shared" si="88"/>
        <v>-163.72185136800977</v>
      </c>
      <c r="AZ187" s="86" t="str">
        <f t="shared" si="89"/>
        <v>-1.39565397167787-0.733276983130309j</v>
      </c>
      <c r="BA187" s="86">
        <f t="shared" si="90"/>
        <v>3.9542165523413235</v>
      </c>
      <c r="BB187" s="86">
        <f t="shared" si="91"/>
        <v>27.717448621353583</v>
      </c>
      <c r="BD187" s="86" t="str">
        <f t="shared" si="92"/>
        <v>-0.337330161318751-1.16071359831005j</v>
      </c>
      <c r="BE187" s="86">
        <f t="shared" si="93"/>
        <v>1.6466439345200565</v>
      </c>
      <c r="BF187" s="86">
        <f t="shared" si="94"/>
        <v>73.794916051266057</v>
      </c>
      <c r="BH187" s="86">
        <f t="shared" si="101"/>
        <v>-0.64664393452005653</v>
      </c>
      <c r="BI187" s="162">
        <f t="shared" si="102"/>
        <v>-73.794916051266057</v>
      </c>
      <c r="BJ187" s="88"/>
      <c r="BK187" s="88"/>
      <c r="BL187" s="88"/>
      <c r="BM187" s="88"/>
      <c r="BN187" s="42"/>
      <c r="BO187" s="42"/>
      <c r="BP187" s="42"/>
    </row>
    <row r="188" spans="1:68" s="86" customFormat="1">
      <c r="A188" s="86">
        <v>124</v>
      </c>
      <c r="B188" s="86">
        <f t="shared" si="52"/>
        <v>30199.517204020169</v>
      </c>
      <c r="C188" s="86" t="str">
        <f t="shared" si="53"/>
        <v>189749.162780217j</v>
      </c>
      <c r="D188" s="86">
        <f t="shared" si="54"/>
        <v>0.98877179637604296</v>
      </c>
      <c r="E188" s="86" t="str">
        <f t="shared" si="55"/>
        <v>-0.166446634017734j</v>
      </c>
      <c r="F188" s="86" t="str">
        <f t="shared" si="56"/>
        <v>0.988771796376043-0.166446634017734j</v>
      </c>
      <c r="G188" s="86">
        <f t="shared" si="57"/>
        <v>2.3277133607033786E-2</v>
      </c>
      <c r="H188" s="86">
        <f t="shared" si="58"/>
        <v>-9.555399650494202</v>
      </c>
      <c r="J188" s="86">
        <f t="shared" si="59"/>
        <v>8.3707025411061284</v>
      </c>
      <c r="K188" s="86" t="str">
        <f t="shared" si="60"/>
        <v>1+8.14633816350353j</v>
      </c>
      <c r="L188" s="86">
        <f t="shared" si="61"/>
        <v>-3.205208879183516</v>
      </c>
      <c r="M188" s="86" t="str">
        <f t="shared" si="62"/>
        <v>0.558852410887893j</v>
      </c>
      <c r="N188" s="86" t="str">
        <f t="shared" si="63"/>
        <v>-3.20520887918352+0.558852410887893j</v>
      </c>
      <c r="O188" s="86" t="str">
        <f t="shared" si="64"/>
        <v>0.127284392349711-2.51940053779819j</v>
      </c>
      <c r="P188" s="86" t="str">
        <f t="shared" si="65"/>
        <v>1.06545978648488-21.0891524838115j</v>
      </c>
      <c r="R188" s="86">
        <f t="shared" si="66"/>
        <v>11.958146487294469</v>
      </c>
      <c r="S188" s="86" t="str">
        <f t="shared" si="67"/>
        <v>1+0.0142311872085163j</v>
      </c>
      <c r="T188" s="86" t="str">
        <f t="shared" si="68"/>
        <v>-3.20520887918352+0.558852410887893j</v>
      </c>
      <c r="U188" s="86" t="str">
        <f t="shared" si="69"/>
        <v>-0.30203593468202-0.0571022683323416j</v>
      </c>
      <c r="V188" s="86" t="str">
        <f t="shared" si="70"/>
        <v>-3.6117899513545-0.682837289474937j</v>
      </c>
      <c r="X188" s="86" t="str">
        <f t="shared" si="71"/>
        <v>-0.101684944063502-0.870429837813979j</v>
      </c>
      <c r="Y188" s="86">
        <f t="shared" si="72"/>
        <v>-1.1464560522790592</v>
      </c>
      <c r="Z188" s="86">
        <f t="shared" si="73"/>
        <v>83.336821332039634</v>
      </c>
      <c r="AB188" s="86" t="str">
        <f t="shared" si="74"/>
        <v>-1.67970549472931-0.317561531148007j</v>
      </c>
      <c r="AC188" s="86">
        <f t="shared" si="75"/>
        <v>4.6571824043945567</v>
      </c>
      <c r="AD188" s="86">
        <f t="shared" si="76"/>
        <v>10.70585841935241</v>
      </c>
      <c r="AF188" s="86" t="str">
        <f t="shared" si="77"/>
        <v>-0.787725611041918-1.11678124548773j</v>
      </c>
      <c r="AG188" s="86">
        <f t="shared" si="78"/>
        <v>2.7130990646536985</v>
      </c>
      <c r="AH188" s="86">
        <f t="shared" si="79"/>
        <v>54.802634351527615</v>
      </c>
      <c r="AJ188" s="86" t="str">
        <f t="shared" si="80"/>
        <v>55944.274867443-52386.8969365194j</v>
      </c>
      <c r="AK188" s="86" t="str">
        <f t="shared" si="81"/>
        <v>20000-0.0000758996651120868j</v>
      </c>
      <c r="AL188" s="86" t="str">
        <f t="shared" si="95"/>
        <v>10000-117113.677323371j</v>
      </c>
      <c r="AM188" s="86" t="str">
        <f t="shared" si="96"/>
        <v>959.810728933898-36402.1450155354j</v>
      </c>
      <c r="AN188" s="86" t="str">
        <f t="shared" si="97"/>
        <v>10959.8107289339-36402.1450155354j</v>
      </c>
      <c r="AO188" s="86" t="str">
        <f t="shared" si="98"/>
        <v>14577.0786705879-6376.20074925269j</v>
      </c>
      <c r="AP188" s="86" t="str">
        <f t="shared" si="99"/>
        <v>0.178442175871137+0.123090671817594j</v>
      </c>
      <c r="AQ188" s="86" t="str">
        <f t="shared" si="82"/>
        <v>1+5.80632438107464j</v>
      </c>
      <c r="AR188" s="86">
        <f t="shared" si="83"/>
        <v>8.8982548098607246E-8</v>
      </c>
      <c r="AS188" s="86" t="str">
        <f t="shared" si="84"/>
        <v>0.000228281525265996j</v>
      </c>
      <c r="AT188" s="86" t="str">
        <f t="shared" si="85"/>
        <v>8.89825480986072E-08+0.000228281525265996j</v>
      </c>
      <c r="AU188" s="86" t="str">
        <f t="shared" si="86"/>
        <v>3.81549489281553-0.655596143261239j</v>
      </c>
      <c r="AW188" s="86" t="str">
        <f t="shared" si="100"/>
        <v>0.794802435769567+0.24798488643789j</v>
      </c>
      <c r="AX188" s="86">
        <f t="shared" si="87"/>
        <v>-1.5913679992989396</v>
      </c>
      <c r="AY188" s="86">
        <f t="shared" si="88"/>
        <v>-162.67164947832009</v>
      </c>
      <c r="AZ188" s="86" t="str">
        <f t="shared" si="89"/>
        <v>-1.2562835583476-0.668940254822697j</v>
      </c>
      <c r="BA188" s="86">
        <f t="shared" si="90"/>
        <v>3.0658144050956171</v>
      </c>
      <c r="BB188" s="86">
        <f t="shared" si="91"/>
        <v>28.034208941032318</v>
      </c>
      <c r="BD188" s="86" t="str">
        <f t="shared" si="92"/>
        <v>-0.349141364035947-1.08296450033387j</v>
      </c>
      <c r="BE188" s="86">
        <f t="shared" si="93"/>
        <v>1.1217310653547896</v>
      </c>
      <c r="BF188" s="86">
        <f t="shared" si="94"/>
        <v>72.130984873207595</v>
      </c>
      <c r="BH188" s="86">
        <f t="shared" si="101"/>
        <v>-0.12173106535478961</v>
      </c>
      <c r="BI188" s="162">
        <f t="shared" si="102"/>
        <v>-72.130984873207595</v>
      </c>
      <c r="BJ188" s="88"/>
      <c r="BK188" s="88"/>
      <c r="BL188" s="88"/>
      <c r="BM188" s="88"/>
      <c r="BN188" s="42"/>
      <c r="BO188" s="42"/>
      <c r="BP188" s="42"/>
    </row>
    <row r="189" spans="1:68" s="86" customFormat="1">
      <c r="A189" s="86">
        <v>125</v>
      </c>
      <c r="B189" s="86">
        <f t="shared" si="52"/>
        <v>31622.776601683825</v>
      </c>
      <c r="C189" s="86" t="str">
        <f t="shared" si="53"/>
        <v>198691.765315922j</v>
      </c>
      <c r="D189" s="86">
        <f t="shared" si="54"/>
        <v>0.98768851954447523</v>
      </c>
      <c r="E189" s="86" t="str">
        <f t="shared" si="55"/>
        <v>-0.174291022206949j</v>
      </c>
      <c r="F189" s="86" t="str">
        <f t="shared" si="56"/>
        <v>0.987688519544475-0.174291022206949j</v>
      </c>
      <c r="G189" s="86">
        <f t="shared" si="57"/>
        <v>2.5573865616741954E-2</v>
      </c>
      <c r="H189" s="86">
        <f t="shared" si="58"/>
        <v>-10.007588704975673</v>
      </c>
      <c r="J189" s="86">
        <f t="shared" si="59"/>
        <v>8.3707025411061284</v>
      </c>
      <c r="K189" s="86" t="str">
        <f t="shared" si="60"/>
        <v>1+8.53026325308107j</v>
      </c>
      <c r="L189" s="86">
        <f t="shared" si="61"/>
        <v>-3.6109198462524237</v>
      </c>
      <c r="M189" s="86" t="str">
        <f t="shared" si="62"/>
        <v>0.585190313587783j</v>
      </c>
      <c r="N189" s="86" t="str">
        <f t="shared" si="63"/>
        <v>-3.61091984625242+0.585190313587783j</v>
      </c>
      <c r="O189" s="86" t="str">
        <f t="shared" si="64"/>
        <v>0.10319766765146-2.34562752379481j</v>
      </c>
      <c r="P189" s="86" t="str">
        <f t="shared" si="65"/>
        <v>0.863836978846302-19.6345502739177j</v>
      </c>
      <c r="R189" s="86">
        <f t="shared" si="66"/>
        <v>11.958146487294469</v>
      </c>
      <c r="S189" s="86" t="str">
        <f t="shared" si="67"/>
        <v>1+0.0149018823986942j</v>
      </c>
      <c r="T189" s="86" t="str">
        <f t="shared" si="68"/>
        <v>-3.61091984625242+0.585190313587783j</v>
      </c>
      <c r="U189" s="86" t="str">
        <f t="shared" si="69"/>
        <v>-0.269198737355343-0.0477535872495378j</v>
      </c>
      <c r="V189" s="86" t="str">
        <f t="shared" si="70"/>
        <v>-3.2191179354899-0.57104439162377j</v>
      </c>
      <c r="X189" s="86" t="str">
        <f t="shared" si="71"/>
        <v>-0.106329045525094-0.808910209306464j</v>
      </c>
      <c r="Y189" s="86">
        <f t="shared" si="72"/>
        <v>-1.7675954896076982</v>
      </c>
      <c r="Z189" s="86">
        <f t="shared" si="73"/>
        <v>82.511558171840093</v>
      </c>
      <c r="AB189" s="86" t="str">
        <f t="shared" si="74"/>
        <v>-1.49708874470849-0.26557092612351j</v>
      </c>
      <c r="AC189" s="86">
        <f t="shared" si="75"/>
        <v>3.6395075277934392</v>
      </c>
      <c r="AD189" s="86">
        <f t="shared" si="76"/>
        <v>10.059146536995343</v>
      </c>
      <c r="AF189" s="86" t="str">
        <f t="shared" si="77"/>
        <v>-0.772948689885478-0.996806495927067j</v>
      </c>
      <c r="AG189" s="86">
        <f t="shared" si="78"/>
        <v>2.0169006980141639</v>
      </c>
      <c r="AH189" s="86">
        <f t="shared" si="79"/>
        <v>52.209105116775376</v>
      </c>
      <c r="AJ189" s="86" t="str">
        <f t="shared" si="80"/>
        <v>53531.3820454847-52489.8680801948j</v>
      </c>
      <c r="AK189" s="86" t="str">
        <f t="shared" si="81"/>
        <v>20000-0.0000794767061263688j</v>
      </c>
      <c r="AL189" s="86" t="str">
        <f t="shared" si="95"/>
        <v>10000-111842.693565527j</v>
      </c>
      <c r="AM189" s="86" t="str">
        <f t="shared" si="96"/>
        <v>959.490828124114-34768.9664975083j</v>
      </c>
      <c r="AN189" s="86" t="str">
        <f t="shared" si="97"/>
        <v>10959.4908281241-34768.9664975083j</v>
      </c>
      <c r="AO189" s="86" t="str">
        <f t="shared" si="98"/>
        <v>14286.2593353774-6416.79989448815j</v>
      </c>
      <c r="AP189" s="86" t="str">
        <f t="shared" si="99"/>
        <v>0.180178701688924+0.128619318096122j</v>
      </c>
      <c r="AQ189" s="86" t="str">
        <f t="shared" si="82"/>
        <v>1+6.07996801866721j</v>
      </c>
      <c r="AR189" s="86">
        <f t="shared" si="83"/>
        <v>8.7919604213066627E-8</v>
      </c>
      <c r="AS189" s="86" t="str">
        <f t="shared" si="84"/>
        <v>0.000239040102098626j</v>
      </c>
      <c r="AT189" s="86" t="str">
        <f t="shared" si="85"/>
        <v>8.79196042130666E-08+0.000239040102098626j</v>
      </c>
      <c r="AU189" s="86" t="str">
        <f t="shared" si="86"/>
        <v>3.81546962966686-0.626106431959782j</v>
      </c>
      <c r="AW189" s="86" t="str">
        <f t="shared" si="100"/>
        <v>0.805465957795355+0.266867209546821j</v>
      </c>
      <c r="AX189" s="86">
        <f t="shared" si="87"/>
        <v>-1.4267141422809948</v>
      </c>
      <c r="AY189" s="86">
        <f t="shared" si="88"/>
        <v>-161.66891912035337</v>
      </c>
      <c r="AZ189" s="86" t="str">
        <f t="shared" si="89"/>
        <v>-1.13498184766993-0.613432236116982j</v>
      </c>
      <c r="BA189" s="86">
        <f t="shared" si="90"/>
        <v>2.2127933855124904</v>
      </c>
      <c r="BB189" s="86">
        <f t="shared" si="91"/>
        <v>28.390227416641892</v>
      </c>
      <c r="BD189" s="86" t="str">
        <f t="shared" si="92"/>
        <v>-0.356568888799073-1.00916835897114j</v>
      </c>
      <c r="BE189" s="86">
        <f t="shared" si="93"/>
        <v>0.59018655573321177</v>
      </c>
      <c r="BF189" s="86">
        <f t="shared" si="94"/>
        <v>70.540185996421954</v>
      </c>
      <c r="BH189" s="86">
        <f t="shared" si="101"/>
        <v>0.40981344426678823</v>
      </c>
      <c r="BI189" s="162">
        <f t="shared" si="102"/>
        <v>-70.540185996421954</v>
      </c>
      <c r="BJ189" s="88"/>
      <c r="BK189" s="88"/>
      <c r="BL189" s="88"/>
      <c r="BM189" s="88"/>
      <c r="BN189" s="42"/>
      <c r="BO189" s="42"/>
      <c r="BP189" s="42"/>
    </row>
    <row r="190" spans="1:68" s="86" customFormat="1">
      <c r="A190" s="86">
        <v>126</v>
      </c>
      <c r="B190" s="86">
        <f t="shared" si="52"/>
        <v>33113.112148259133</v>
      </c>
      <c r="C190" s="86" t="str">
        <f t="shared" si="53"/>
        <v>208055.819724932j</v>
      </c>
      <c r="D190" s="86">
        <f t="shared" si="54"/>
        <v>0.98650073011827411</v>
      </c>
      <c r="E190" s="86" t="str">
        <f t="shared" si="55"/>
        <v>-0.18250510502187j</v>
      </c>
      <c r="F190" s="86" t="str">
        <f t="shared" si="56"/>
        <v>0.986500730118274-0.18250510502187j</v>
      </c>
      <c r="G190" s="86">
        <f t="shared" si="57"/>
        <v>2.810242669373722E-2</v>
      </c>
      <c r="H190" s="86">
        <f t="shared" si="58"/>
        <v>-10.481356851059504</v>
      </c>
      <c r="J190" s="86">
        <f t="shared" si="59"/>
        <v>8.3707025411061284</v>
      </c>
      <c r="K190" s="86" t="str">
        <f t="shared" si="60"/>
        <v>1+8.93228217469074j</v>
      </c>
      <c r="L190" s="86">
        <f t="shared" si="61"/>
        <v>-4.0557730755796975</v>
      </c>
      <c r="M190" s="86" t="str">
        <f t="shared" si="62"/>
        <v>0.612769483400627j</v>
      </c>
      <c r="N190" s="86" t="str">
        <f t="shared" si="63"/>
        <v>-4.0557730755797+0.612769483400627j</v>
      </c>
      <c r="O190" s="86" t="str">
        <f t="shared" si="64"/>
        <v>0.0842600448032555-2.18963192098611j</v>
      </c>
      <c r="P190" s="86" t="str">
        <f t="shared" si="65"/>
        <v>0.705315771148327-18.3287574850855j</v>
      </c>
      <c r="R190" s="86">
        <f t="shared" si="66"/>
        <v>11.958146487294469</v>
      </c>
      <c r="S190" s="86" t="str">
        <f t="shared" si="67"/>
        <v>1+0.0156041864793699j</v>
      </c>
      <c r="T190" s="86" t="str">
        <f t="shared" si="68"/>
        <v>-4.0557730755797+0.612769483400627j</v>
      </c>
      <c r="U190" s="86" t="str">
        <f t="shared" si="69"/>
        <v>-0.240491162569393-0.0401821869449981j</v>
      </c>
      <c r="V190" s="86" t="str">
        <f t="shared" si="70"/>
        <v>-2.87582855090455-0.480504477668139j</v>
      </c>
      <c r="X190" s="86" t="str">
        <f t="shared" si="71"/>
        <v>-0.109655737173965-0.753723323309394j</v>
      </c>
      <c r="Y190" s="86">
        <f t="shared" si="72"/>
        <v>-2.3647974453786622</v>
      </c>
      <c r="Z190" s="86">
        <f t="shared" si="73"/>
        <v>81.722376121917748</v>
      </c>
      <c r="AB190" s="86" t="str">
        <f t="shared" si="74"/>
        <v>-1.33743796951488-0.223464271801999j</v>
      </c>
      <c r="AC190" s="86">
        <f t="shared" si="75"/>
        <v>2.6450534976441542</v>
      </c>
      <c r="AD190" s="86">
        <f t="shared" si="76"/>
        <v>9.4855769014704379</v>
      </c>
      <c r="AF190" s="86" t="str">
        <f t="shared" si="77"/>
        <v>-0.751279511011147-0.886984051617213j</v>
      </c>
      <c r="AG190" s="86">
        <f t="shared" si="78"/>
        <v>1.3070729778588299</v>
      </c>
      <c r="AH190" s="86">
        <f t="shared" si="79"/>
        <v>49.73524955429491</v>
      </c>
      <c r="AJ190" s="86" t="str">
        <f t="shared" si="80"/>
        <v>51114.1224574986-52481.7048449952j</v>
      </c>
      <c r="AK190" s="86" t="str">
        <f t="shared" si="81"/>
        <v>20000-0.0000832223278899728j</v>
      </c>
      <c r="AL190" s="86" t="str">
        <f t="shared" si="95"/>
        <v>10000-106808.943155745j</v>
      </c>
      <c r="AM190" s="86" t="str">
        <f t="shared" si="96"/>
        <v>959.14030886728-33209.5338244979j</v>
      </c>
      <c r="AN190" s="86" t="str">
        <f t="shared" si="97"/>
        <v>10959.1403088673-33209.5338244979j</v>
      </c>
      <c r="AO190" s="86" t="str">
        <f t="shared" si="98"/>
        <v>13992.4286355165-6444.25659721306j</v>
      </c>
      <c r="AP190" s="86" t="str">
        <f t="shared" si="99"/>
        <v>0.182074346376912+0.134369541634149j</v>
      </c>
      <c r="AQ190" s="86" t="str">
        <f t="shared" si="82"/>
        <v>1+6.36650808358292j</v>
      </c>
      <c r="AR190" s="86">
        <f t="shared" si="83"/>
        <v>8.6754109418847491E-8</v>
      </c>
      <c r="AS190" s="86" t="str">
        <f t="shared" si="84"/>
        <v>0.000250305715036474j</v>
      </c>
      <c r="AT190" s="86" t="str">
        <f t="shared" si="85"/>
        <v>8.67541094188475E-08+0.000250305715036474j</v>
      </c>
      <c r="AU190" s="86" t="str">
        <f t="shared" si="86"/>
        <v>3.81544658924254-0.597944774482299j</v>
      </c>
      <c r="AW190" s="86" t="str">
        <f t="shared" si="100"/>
        <v>0.817063116753761+0.285858283980999j</v>
      </c>
      <c r="AX190" s="86">
        <f t="shared" si="87"/>
        <v>-1.2534015499520943</v>
      </c>
      <c r="AY190" s="86">
        <f t="shared" si="88"/>
        <v>-160.7170637556581</v>
      </c>
      <c r="AZ190" s="86" t="str">
        <f t="shared" si="89"/>
        <v>-1.02889212256827-0.564902137298206j</v>
      </c>
      <c r="BA190" s="86">
        <f t="shared" si="90"/>
        <v>1.3916519476920817</v>
      </c>
      <c r="BB190" s="86">
        <f t="shared" si="91"/>
        <v>28.76851314581225</v>
      </c>
      <c r="BD190" s="86" t="str">
        <f t="shared" si="92"/>
        <v>-0.360291039906201-0.939481425532971j</v>
      </c>
      <c r="BE190" s="86">
        <f t="shared" si="93"/>
        <v>5.3671427906754415E-2</v>
      </c>
      <c r="BF190" s="86">
        <f t="shared" si="94"/>
        <v>69.018185798636722</v>
      </c>
      <c r="BH190" s="86">
        <f t="shared" si="101"/>
        <v>0.94632857209324561</v>
      </c>
      <c r="BI190" s="162">
        <f t="shared" si="102"/>
        <v>-69.018185798636722</v>
      </c>
      <c r="BJ190" s="88"/>
      <c r="BK190" s="88"/>
      <c r="BL190" s="88"/>
      <c r="BM190" s="88"/>
      <c r="BN190" s="42"/>
      <c r="BO190" s="42"/>
      <c r="BP190" s="42"/>
    </row>
    <row r="191" spans="1:68" s="86" customFormat="1">
      <c r="A191" s="86">
        <v>127</v>
      </c>
      <c r="B191" s="86">
        <f t="shared" si="52"/>
        <v>34673.68504525318</v>
      </c>
      <c r="C191" s="86" t="str">
        <f t="shared" si="53"/>
        <v>217861.188422107j</v>
      </c>
      <c r="D191" s="86">
        <f t="shared" si="54"/>
        <v>0.98519834491083524</v>
      </c>
      <c r="E191" s="86" t="str">
        <f t="shared" si="55"/>
        <v>-0.191106305633427j</v>
      </c>
      <c r="F191" s="86" t="str">
        <f t="shared" si="56"/>
        <v>0.985198344910835-0.191106305633427j</v>
      </c>
      <c r="G191" s="86">
        <f t="shared" si="57"/>
        <v>3.0887232841189688E-2</v>
      </c>
      <c r="H191" s="86">
        <f t="shared" si="58"/>
        <v>-10.977758977053288</v>
      </c>
      <c r="J191" s="86">
        <f t="shared" si="59"/>
        <v>8.3707025411061284</v>
      </c>
      <c r="K191" s="86" t="str">
        <f t="shared" si="60"/>
        <v>1+9.35324766436481j</v>
      </c>
      <c r="L191" s="86">
        <f t="shared" si="61"/>
        <v>-4.5435449420208709</v>
      </c>
      <c r="M191" s="86" t="str">
        <f t="shared" si="62"/>
        <v>0.641648419443197j</v>
      </c>
      <c r="N191" s="86" t="str">
        <f t="shared" si="63"/>
        <v>-4.54354494202087+0.641648419443197j</v>
      </c>
      <c r="O191" s="86" t="str">
        <f t="shared" si="64"/>
        <v>0.0692432245810865-2.04880065621511j</v>
      </c>
      <c r="P191" s="86" t="str">
        <f t="shared" si="65"/>
        <v>0.579614435955283-17.1499008591997j</v>
      </c>
      <c r="R191" s="86">
        <f t="shared" si="66"/>
        <v>11.958146487294469</v>
      </c>
      <c r="S191" s="86" t="str">
        <f t="shared" si="67"/>
        <v>1+0.016339589131658j</v>
      </c>
      <c r="T191" s="86" t="str">
        <f t="shared" si="68"/>
        <v>-4.54354494202087+0.641648419443197j</v>
      </c>
      <c r="U191" s="86" t="str">
        <f t="shared" si="69"/>
        <v>-0.215290912099857-0.0340000296183503j</v>
      </c>
      <c r="V191" s="86" t="str">
        <f t="shared" si="70"/>
        <v>-2.57448026427333-0.406577334748584j</v>
      </c>
      <c r="X191" s="86" t="str">
        <f t="shared" si="71"/>
        <v>-0.112020033913125-0.703920848596393j</v>
      </c>
      <c r="Y191" s="86">
        <f t="shared" si="72"/>
        <v>-2.9409093786824285</v>
      </c>
      <c r="Z191" s="86">
        <f t="shared" si="73"/>
        <v>80.957927154831538</v>
      </c>
      <c r="AB191" s="86" t="str">
        <f t="shared" si="74"/>
        <v>-1.19729239635055-0.18908358249169j</v>
      </c>
      <c r="AC191" s="86">
        <f t="shared" si="75"/>
        <v>1.6709915289742181</v>
      </c>
      <c r="AD191" s="86">
        <f t="shared" si="76"/>
        <v>8.974373512485613</v>
      </c>
      <c r="AF191" s="86" t="str">
        <f t="shared" si="77"/>
        <v>-0.72434765009255-0.787142752897714j</v>
      </c>
      <c r="AG191" s="86">
        <f t="shared" si="78"/>
        <v>0.58529738462699465</v>
      </c>
      <c r="AH191" s="86">
        <f t="shared" si="79"/>
        <v>47.378993945530652</v>
      </c>
      <c r="AJ191" s="86" t="str">
        <f t="shared" si="80"/>
        <v>48702.7287121186-52362.4935499278j</v>
      </c>
      <c r="AK191" s="86" t="str">
        <f t="shared" si="81"/>
        <v>20000-0.0000871444753688428j</v>
      </c>
      <c r="AL191" s="86" t="str">
        <f t="shared" si="95"/>
        <v>10000-102001.748834522j</v>
      </c>
      <c r="AM191" s="86" t="str">
        <f t="shared" si="96"/>
        <v>958.756266383232-31720.5386733487j</v>
      </c>
      <c r="AN191" s="86" t="str">
        <f t="shared" si="97"/>
        <v>10958.7562663832-31720.5386733487j</v>
      </c>
      <c r="AO191" s="86" t="str">
        <f t="shared" si="98"/>
        <v>13696.799178151-6458.29966411944j</v>
      </c>
      <c r="AP191" s="86" t="str">
        <f t="shared" si="99"/>
        <v>0.184142828998651+0.140346356037953j</v>
      </c>
      <c r="AQ191" s="86" t="str">
        <f t="shared" si="82"/>
        <v>1+6.66655236571647j</v>
      </c>
      <c r="AR191" s="86">
        <f t="shared" si="83"/>
        <v>8.5476169789267995E-8</v>
      </c>
      <c r="AS191" s="86" t="str">
        <f t="shared" si="84"/>
        <v>0.000262102259954984j</v>
      </c>
      <c r="AT191" s="86" t="str">
        <f t="shared" si="85"/>
        <v>8.5476169789268E-08+0.000262102259954984j</v>
      </c>
      <c r="AU191" s="86" t="str">
        <f t="shared" si="86"/>
        <v>3.81542557595178-0.571051436417824j</v>
      </c>
      <c r="AW191" s="86" t="str">
        <f t="shared" si="100"/>
        <v>0.82966558874805+0.304936103536206j</v>
      </c>
      <c r="AX191" s="86">
        <f t="shared" si="87"/>
        <v>-1.0716493521846544</v>
      </c>
      <c r="AY191" s="86">
        <f t="shared" si="88"/>
        <v>-159.81955135118366</v>
      </c>
      <c r="AZ191" s="86" t="str">
        <f t="shared" si="89"/>
        <v>-0.935693890034064-0.521973819927223j</v>
      </c>
      <c r="BA191" s="86">
        <f t="shared" si="90"/>
        <v>0.59934217678959645</v>
      </c>
      <c r="BB191" s="86">
        <f t="shared" si="91"/>
        <v>29.154822161301922</v>
      </c>
      <c r="BD191" s="86" t="str">
        <f t="shared" si="92"/>
        <v>-0.360938075576913-0.873945005536475j</v>
      </c>
      <c r="BE191" s="86">
        <f t="shared" si="93"/>
        <v>-0.48635196755762644</v>
      </c>
      <c r="BF191" s="86">
        <f t="shared" si="94"/>
        <v>67.559442594346919</v>
      </c>
      <c r="BH191" s="86">
        <f t="shared" si="101"/>
        <v>1.4863519675576264</v>
      </c>
      <c r="BI191" s="162">
        <f t="shared" si="102"/>
        <v>-67.559442594346919</v>
      </c>
      <c r="BJ191" s="88"/>
      <c r="BK191" s="88"/>
      <c r="BL191" s="88"/>
      <c r="BM191" s="88"/>
      <c r="BN191" s="42"/>
      <c r="BO191" s="42"/>
      <c r="BP191" s="42"/>
    </row>
    <row r="192" spans="1:68" s="86" customFormat="1">
      <c r="A192" s="86">
        <v>128</v>
      </c>
      <c r="B192" s="86">
        <f t="shared" ref="B192:B255" si="103">Fstart*10^(Step*A192)</f>
        <v>36307.805477010152</v>
      </c>
      <c r="C192" s="86" t="str">
        <f t="shared" ref="C192:C255" si="104">COMPLEX(0,2*PI()*B192,"j")</f>
        <v>228128.669909085j</v>
      </c>
      <c r="D192" s="86">
        <f t="shared" ref="D192:D255" si="105">(IMPRODUCT(C192,C192))/wn^2 + 1</f>
        <v>0.98377030792789888</v>
      </c>
      <c r="E192" s="86" t="str">
        <f t="shared" ref="E192:E255" si="106">IMDIV(C192,wn*Qn)</f>
        <v>-0.200112868341303j</v>
      </c>
      <c r="F192" s="86" t="str">
        <f t="shared" ref="F192:F255" si="107">IMSUM(D192,E192)</f>
        <v>0.983770307927899-0.200112868341303j</v>
      </c>
      <c r="G192" s="86">
        <f t="shared" ref="G192:G255" si="108">20*LOG(IMABS(F192),10)</f>
        <v>3.3955462961400951E-2</v>
      </c>
      <c r="H192" s="86">
        <f t="shared" ref="H192:H255" si="109">(IMARGUMENT(F192)*(180/PI()))</f>
        <v>-11.497904830848301</v>
      </c>
      <c r="J192" s="86">
        <f t="shared" ref="J192:J255" si="110">Vin/(Rout+DCR/1000)</f>
        <v>8.3707025411061284</v>
      </c>
      <c r="K192" s="86" t="str">
        <f t="shared" ref="K192:K255" si="111">IMSUM(1,IMPRODUCT(C192,ncap*(Cap*10^-6)*(Rout+(ESR/(ncap*1000)))))</f>
        <v>1+9.79405264634682j</v>
      </c>
      <c r="L192" s="86">
        <f t="shared" ref="L192:L255" si="112">(IMPRODUCT(C192,C192))/Gdo^2 + 1</f>
        <v>-5.0783761582657609</v>
      </c>
      <c r="M192" s="86" t="str">
        <f t="shared" ref="M192:M255" si="113">IMDIV(C192,Q*Gdo)</f>
        <v>0.671888377810711j</v>
      </c>
      <c r="N192" s="86" t="str">
        <f t="shared" ref="N192:N255" si="114">IMSUM(L192,M192)</f>
        <v>-5.07837615826576+0.671888377810711j</v>
      </c>
      <c r="O192" s="86" t="str">
        <f t="shared" ref="O192:O255" si="115">IMDIV(K192,N192)</f>
        <v>0.0572430401129274-1.92100612655599j</v>
      </c>
      <c r="P192" s="86" t="str">
        <f t="shared" ref="P192:P255" si="116">IMPRODUCT(J192,O192)</f>
        <v>0.479164461333921-16.0801708650427j</v>
      </c>
      <c r="R192" s="86">
        <f t="shared" ref="R192:R255" si="117">Vin/(1+((DCR*10^-3)/Rout))</f>
        <v>11.958146487294469</v>
      </c>
      <c r="S192" s="86" t="str">
        <f t="shared" ref="S192:S255" si="118">IMSUM(1,IMPRODUCT(C192,ncap*(Cap*10^-6)*(ESR/(ncap*1000))))</f>
        <v>1+0.0171096502431814j</v>
      </c>
      <c r="T192" s="86" t="str">
        <f t="shared" ref="T192:T255" si="119">IMSUM(L192,M192)</f>
        <v>-5.07837615826576+0.671888377810711j</v>
      </c>
      <c r="U192" s="86" t="str">
        <f t="shared" ref="U192:U255" si="120">IMDIV(S192,T192)</f>
        <v>-0.193087726946234-0.0289153550859435j</v>
      </c>
      <c r="V192" s="86" t="str">
        <f t="shared" ref="V192:V255" si="121">IMPRODUCT(R192,U192)</f>
        <v>-2.30897132372178-0.345774051849847j</v>
      </c>
      <c r="X192" s="86" t="str">
        <f t="shared" ref="X192:X255" si="122">IMPRODUCT(Fm,Dmax,P192,F192)</f>
        <v>-0.113677406079174-0.658733172716421j</v>
      </c>
      <c r="Y192" s="86">
        <f t="shared" ref="Y192:Y255" si="123">20*LOG(IMABS(X192),10)</f>
        <v>-3.4983634690751697</v>
      </c>
      <c r="Z192" s="86">
        <f t="shared" ref="Z192:Z255" si="124">IF((IMARGUMENT(X192)*(180/PI()))&lt;0,(IMARGUMENT(X192)*(180/PI()))+180,(IMARGUMENT(X192)*(180/PI()))-180)</f>
        <v>80.208916566717562</v>
      </c>
      <c r="AB192" s="86" t="str">
        <f t="shared" ref="AB192:AB255" si="125">IMPRODUCT(Fm,V192)</f>
        <v>-1.07381433357535-0.160806298995653j</v>
      </c>
      <c r="AC192" s="86">
        <f t="shared" ref="AC192:AC255" si="126">20*LOG(IMABS(AB192),10)</f>
        <v>0.71490188553605449</v>
      </c>
      <c r="AD192" s="86">
        <f t="shared" ref="AD192:AD255" si="127">IF((IMARGUMENT(AB192)*(180/PI()))&lt;0,(IMARGUMENT(AB192)*(180/PI()))+180,(IMARGUMENT(AB192)*(180/PI()))-180)</f>
        <v>8.516892167123217</v>
      </c>
      <c r="AF192" s="86" t="str">
        <f t="shared" ref="AF192:AF255" si="128">IMDIV(AB192,IMSUM(1,X192))</f>
        <v>-0.693578884997425-0.696912978046345j</v>
      </c>
      <c r="AG192" s="86">
        <f t="shared" ref="AG192:AG255" si="129">20*LOG(IMABS(AF192),10)</f>
        <v>-0.14690595202549603</v>
      </c>
      <c r="AH192" s="86">
        <f t="shared" ref="AH192:AH255" si="130">IF((IMARGUMENT(AF192)*(180/PI()))&lt;0,(IMARGUMENT(AF192)*(180/PI()))+180,(IMARGUMENT(AF192)*(180/PI()))-180)</f>
        <v>45.137382389057564</v>
      </c>
      <c r="AJ192" s="86" t="str">
        <f t="shared" ref="AJ192:AJ255" si="131">IMDIV(_Rfb1,IMSUM(1,IMPRODUCT(C192,_Cfb1*_Rfb1)))</f>
        <v>46307.3344558572-52133.4910921798j</v>
      </c>
      <c r="AK192" s="86" t="str">
        <f t="shared" ref="AK192:AK255" si="132">IMDIV(_Rfb2,IMSUM(1,IMPRODUCT(C192,_Cfb2*_Rfb2)))</f>
        <v>20000-0.000091251467963634j</v>
      </c>
      <c r="AL192" s="86" t="str">
        <f t="shared" si="95"/>
        <v>10000-97410.9138981891j</v>
      </c>
      <c r="AM192" s="86" t="str">
        <f t="shared" si="96"/>
        <v>958.335525499508-30298.8220469838j</v>
      </c>
      <c r="AN192" s="86" t="str">
        <f t="shared" si="97"/>
        <v>10958.3355254995-30298.8220469838j</v>
      </c>
      <c r="AO192" s="86" t="str">
        <f t="shared" si="98"/>
        <v>13400.6133671612-6458.79817472965j</v>
      </c>
      <c r="AP192" s="86" t="str">
        <f t="shared" si="99"/>
        <v>0.18639888347725+0.146554292023011j</v>
      </c>
      <c r="AQ192" s="86" t="str">
        <f t="shared" ref="AQ192:AQ255" si="133">IMSUM(1,IMPRODUCT(C192,_res1*_Cap1))</f>
        <v>1+6.980737299218j</v>
      </c>
      <c r="AR192" s="86">
        <f t="shared" ref="AR192:AR255" si="134">(IMPRODUCT(C192,C192))*_res1*_Cap1*_cap2 + (1/Roerr)</f>
        <v>8.4074936849446577E-8</v>
      </c>
      <c r="AS192" s="86" t="str">
        <f t="shared" ref="AS192:AS255" si="135">IMPRODUCT(C192,(_Cap1+_cap2+(_Cap1*_res1/Roerr)))</f>
        <v>0.000274454758907523j</v>
      </c>
      <c r="AT192" s="86" t="str">
        <f t="shared" ref="AT192:AT255" si="136">IMSUM(AR192,AS192)</f>
        <v>8.40749368494466E-08+0.000274454758907523j</v>
      </c>
      <c r="AU192" s="86" t="str">
        <f t="shared" ref="AU192:AU255" si="137">IMPRODUCT(EA_BW,IMDIV(AQ192,AT192))</f>
        <v>3.81540641141217-0.545369373599893j</v>
      </c>
      <c r="AW192" s="86" t="str">
        <f t="shared" si="100"/>
        <v>0.84334858528302+0.324070949775842j</v>
      </c>
      <c r="AX192" s="86">
        <f t="shared" ref="AX192:AX255" si="138">20*LOG(IMABS(AW192),10)</f>
        <v>-0.88172114676778812</v>
      </c>
      <c r="AY192" s="86">
        <f t="shared" ref="AY192:AY255" si="139">IF((IMARGUMENT(AW192)*(180/PI()))&lt;0,(IMARGUMENT(AW192)*(180/PI()))+180,(IMARGUMENT(AW192)*(180/PI()))-180)</f>
        <v>-158.97988448006112</v>
      </c>
      <c r="AZ192" s="86" t="str">
        <f t="shared" ref="AZ192:AZ255" si="140">IMPRODUCT(AW192,Fm,V192)</f>
        <v>-0.853487149031943-0.483607795727259j</v>
      </c>
      <c r="BA192" s="86">
        <f t="shared" ref="BA192:BA255" si="141">20*LOG(IMABS(AZ192),10)</f>
        <v>-0.16681926123172</v>
      </c>
      <c r="BB192" s="86">
        <f t="shared" ref="BB192:BB255" si="142">IF((IMARGUMENT(AZ192)*(180/PI()))&lt;0,(IMARGUMENT(AZ192)*(180/PI()))+180,(IMARGUMENT(AZ192)*(180/PI()))-180)</f>
        <v>29.537007687062072</v>
      </c>
      <c r="BD192" s="86" t="str">
        <f t="shared" ref="BD192:BD255" si="143">IMDIV(AZ192,IMSUM(1,X192))</f>
        <v>-0.359079520738164-0.812509342106348j</v>
      </c>
      <c r="BE192" s="86">
        <f t="shared" ref="BE192:BE255" si="144">20*LOG(IMABS(BD192),10)</f>
        <v>-1.0286270987932691</v>
      </c>
      <c r="BF192" s="86">
        <f t="shared" ref="BF192:BF255" si="145">IF((IMARGUMENT(BD192)*(180/PI()))&lt;0,(IMARGUMENT(BD192)*(180/PI()))+180,(IMARGUMENT(BD192)*(180/PI()))-180)</f>
        <v>66.157497908996461</v>
      </c>
      <c r="BH192" s="86">
        <f t="shared" si="101"/>
        <v>2.0286270987932689</v>
      </c>
      <c r="BI192" s="162">
        <f t="shared" si="102"/>
        <v>-66.157497908996461</v>
      </c>
      <c r="BJ192" s="88"/>
      <c r="BK192" s="88"/>
      <c r="BL192" s="88"/>
      <c r="BM192" s="88"/>
      <c r="BN192" s="42"/>
      <c r="BO192" s="42"/>
      <c r="BP192" s="42"/>
    </row>
    <row r="193" spans="1:68" s="86" customFormat="1">
      <c r="A193" s="86">
        <v>129</v>
      </c>
      <c r="B193" s="86">
        <f t="shared" si="103"/>
        <v>38018.939632056165</v>
      </c>
      <c r="C193" s="86" t="str">
        <f t="shared" si="104"/>
        <v>238880.042890683j</v>
      </c>
      <c r="D193" s="86">
        <f t="shared" si="105"/>
        <v>0.98220449651282327</v>
      </c>
      <c r="E193" s="86" t="str">
        <f t="shared" si="106"/>
        <v>-0.209543897272529j</v>
      </c>
      <c r="F193" s="86" t="str">
        <f t="shared" si="107"/>
        <v>0.982204496512823-0.209543897272529j</v>
      </c>
      <c r="G193" s="86">
        <f t="shared" si="108"/>
        <v>3.7337405444561066E-2</v>
      </c>
      <c r="H193" s="86">
        <f t="shared" si="109"/>
        <v>-12.042962246085194</v>
      </c>
      <c r="J193" s="86">
        <f t="shared" si="110"/>
        <v>8.3707025411061284</v>
      </c>
      <c r="K193" s="86" t="str">
        <f t="shared" si="111"/>
        <v>1+10.2556321271032j</v>
      </c>
      <c r="L193" s="86">
        <f t="shared" si="112"/>
        <v>-5.6648069254949682</v>
      </c>
      <c r="M193" s="86" t="str">
        <f t="shared" si="113"/>
        <v>0.703553501509204j</v>
      </c>
      <c r="N193" s="86" t="str">
        <f t="shared" si="114"/>
        <v>-5.66480692549497+0.703553501509204j</v>
      </c>
      <c r="O193" s="86" t="str">
        <f t="shared" si="115"/>
        <v>0.0475856307051-1.80450158751102j</v>
      </c>
      <c r="P193" s="86" t="str">
        <f t="shared" si="116"/>
        <v>0.398325159863318-15.1049460240085j</v>
      </c>
      <c r="R193" s="86">
        <f t="shared" si="117"/>
        <v>11.958146487294469</v>
      </c>
      <c r="S193" s="86" t="str">
        <f t="shared" si="118"/>
        <v>1+0.0179160032168012j</v>
      </c>
      <c r="T193" s="86" t="str">
        <f t="shared" si="119"/>
        <v>-5.66480692549497+0.703553501509204j</v>
      </c>
      <c r="U193" s="86" t="str">
        <f t="shared" si="120"/>
        <v>-0.173460110987798-0.0247059561808831j</v>
      </c>
      <c r="V193" s="86" t="str">
        <f t="shared" si="121"/>
        <v>-2.07426141689445-0.295437443119678j</v>
      </c>
      <c r="X193" s="86" t="str">
        <f t="shared" si="122"/>
        <v>-0.114813622852786-0.617530209437467j</v>
      </c>
      <c r="Y193" s="86">
        <f t="shared" si="123"/>
        <v>-4.0392467059595507</v>
      </c>
      <c r="Z193" s="86">
        <f t="shared" si="124"/>
        <v>79.467606706194573</v>
      </c>
      <c r="AB193" s="86" t="str">
        <f t="shared" si="125"/>
        <v>-0.964659724510276-0.137396665708868j</v>
      </c>
      <c r="AC193" s="86">
        <f t="shared" si="126"/>
        <v>-0.22529626623212479</v>
      </c>
      <c r="AD193" s="86">
        <f t="shared" si="127"/>
        <v>8.1061274531821255</v>
      </c>
      <c r="AF193" s="86" t="str">
        <f t="shared" si="128"/>
        <v>-0.66019234031732-0.615786001644919j</v>
      </c>
      <c r="AG193" s="86">
        <f t="shared" si="129"/>
        <v>-0.88817705898302646</v>
      </c>
      <c r="AH193" s="86">
        <f t="shared" si="130"/>
        <v>43.00680837255976</v>
      </c>
      <c r="AJ193" s="86" t="str">
        <f t="shared" si="131"/>
        <v>43937.8052349853-51797.0927833402j</v>
      </c>
      <c r="AK193" s="86" t="str">
        <f t="shared" si="132"/>
        <v>20000-0.0000955520171562732j</v>
      </c>
      <c r="AL193" s="86" t="str">
        <f t="shared" ref="AL193:AL256" si="146">IMDIV(IMSUM(1,IMPRODUCT(C193,10000,0.000000000045)),IMPRODUCT(C193,0.000000000045))</f>
        <v>10000-93026.7005703431j</v>
      </c>
      <c r="AM193" s="86" t="str">
        <f t="shared" ref="AM193:AM256" si="147">IMDIV(AL193,IMSUM(1,IMPRODUCT(C193,AL193,0.0000000001)))</f>
        <v>957.874616525515-28941.3675620138j</v>
      </c>
      <c r="AN193" s="86" t="str">
        <f t="shared" ref="AN193:AN256" si="148">IMSUM(10000,AM193)</f>
        <v>10957.8746165255-28941.3675620138j</v>
      </c>
      <c r="AO193" s="86" t="str">
        <f t="shared" ref="AO193:AO256" si="149">IMDIV(IMPRODUCT(AN193,AK193),IMSUM(AN193,AK193))</f>
        <v>13105.12257362-6445.76490338919j</v>
      </c>
      <c r="AP193" s="86" t="str">
        <f t="shared" ref="AP193:AP256" si="150">IMDIV(AK193,IMSUM(AJ193,AK193))</f>
        <v>0.188858300506584+0.152997288549163j</v>
      </c>
      <c r="AQ193" s="86" t="str">
        <f t="shared" si="133"/>
        <v>1+7.3097293124549j</v>
      </c>
      <c r="AR193" s="86">
        <f t="shared" si="134"/>
        <v>8.2538515483214915E-8</v>
      </c>
      <c r="AS193" s="86" t="str">
        <f t="shared" si="135"/>
        <v>0.000287389413200494j</v>
      </c>
      <c r="AT193" s="86" t="str">
        <f t="shared" si="136"/>
        <v>8.25385154832149E-08+0.000287389413200494j</v>
      </c>
      <c r="AU193" s="86" t="str">
        <f t="shared" si="137"/>
        <v>3.81538893293541-0.520844111112256j</v>
      </c>
      <c r="AW193" s="86" t="str">
        <f t="shared" ref="AW193:AW256" si="151">IMDIV(IMPRODUCT(AP193,AU193),IMPRODUCT(IMSUM(1,IMPRODUCT(C193,1/1500000)),IMSUM(1,IMPRODUCT(C193,1/35000000))))</f>
        <v>0.858190604980336+0.343224474295869j</v>
      </c>
      <c r="AX193" s="86">
        <f t="shared" si="138"/>
        <v>-0.68392565419068041</v>
      </c>
      <c r="AY193" s="86">
        <f t="shared" si="139"/>
        <v>-158.20157005048713</v>
      </c>
      <c r="AZ193" s="86" t="str">
        <f t="shared" si="140"/>
        <v>-0.780704014219706-0.449007354486411j</v>
      </c>
      <c r="BA193" s="86">
        <f t="shared" si="141"/>
        <v>-0.90922192042281413</v>
      </c>
      <c r="BB193" s="86">
        <f t="shared" si="142"/>
        <v>29.904557402694991</v>
      </c>
      <c r="BD193" s="86" t="str">
        <f t="shared" si="143"/>
        <v>-0.355218037246972-0.755055930229646j</v>
      </c>
      <c r="BE193" s="86">
        <f t="shared" si="144"/>
        <v>-1.5721027131737151</v>
      </c>
      <c r="BF193" s="86">
        <f t="shared" si="145"/>
        <v>64.805238322072626</v>
      </c>
      <c r="BH193" s="86">
        <f t="shared" ref="BH193:BH256" si="152">1-BE193</f>
        <v>2.5721027131737149</v>
      </c>
      <c r="BI193" s="162">
        <f t="shared" ref="BI193:BI256" si="153">+-1*BF193</f>
        <v>-64.805238322072626</v>
      </c>
      <c r="BJ193" s="88"/>
      <c r="BK193" s="88"/>
      <c r="BL193" s="88"/>
      <c r="BM193" s="88"/>
      <c r="BN193" s="42"/>
      <c r="BO193" s="42"/>
      <c r="BP193" s="42"/>
    </row>
    <row r="194" spans="1:68" s="86" customFormat="1">
      <c r="A194" s="86">
        <v>130</v>
      </c>
      <c r="B194" s="86">
        <f t="shared" si="103"/>
        <v>39810.717055349764</v>
      </c>
      <c r="C194" s="86" t="str">
        <f t="shared" si="104"/>
        <v>250138.112470457j</v>
      </c>
      <c r="D194" s="86">
        <f t="shared" si="105"/>
        <v>0.98048761843692078</v>
      </c>
      <c r="E194" s="86" t="str">
        <f t="shared" si="106"/>
        <v>-0.21941939690391j</v>
      </c>
      <c r="F194" s="86" t="str">
        <f t="shared" si="107"/>
        <v>0.980487618436921-0.21941939690391j</v>
      </c>
      <c r="G194" s="86">
        <f t="shared" si="108"/>
        <v>4.1066853618433034E-2</v>
      </c>
      <c r="H194" s="86">
        <f t="shared" si="109"/>
        <v>-12.614160584018784</v>
      </c>
      <c r="J194" s="86">
        <f t="shared" si="110"/>
        <v>8.3707025411061284</v>
      </c>
      <c r="K194" s="86" t="str">
        <f t="shared" si="111"/>
        <v>1+10.7389651785977j</v>
      </c>
      <c r="L194" s="86">
        <f t="shared" si="112"/>
        <v>-6.3078154753093072</v>
      </c>
      <c r="M194" s="86" t="str">
        <f t="shared" si="113"/>
        <v>0.736710956511457j</v>
      </c>
      <c r="N194" s="86" t="str">
        <f t="shared" si="114"/>
        <v>-6.30781547530931+0.736710956511457j</v>
      </c>
      <c r="O194" s="86" t="str">
        <f t="shared" si="115"/>
        <v>0.039763128494473-1.69784155673094j</v>
      </c>
      <c r="P194" s="86" t="str">
        <f t="shared" si="116"/>
        <v>0.332845320731015-14.2121266333233j</v>
      </c>
      <c r="R194" s="86">
        <f t="shared" si="117"/>
        <v>11.958146487294469</v>
      </c>
      <c r="S194" s="86" t="str">
        <f t="shared" si="118"/>
        <v>1+0.0187603584352843j</v>
      </c>
      <c r="T194" s="86" t="str">
        <f t="shared" si="119"/>
        <v>-6.30781547530931+0.736710956511457j</v>
      </c>
      <c r="U194" s="86" t="str">
        <f t="shared" si="120"/>
        <v>-0.156057398960064-0.0212006128932118j</v>
      </c>
      <c r="V194" s="86" t="str">
        <f t="shared" si="121"/>
        <v>-1.8661572371906-0.253520034597451j</v>
      </c>
      <c r="X194" s="86" t="str">
        <f t="shared" si="122"/>
        <v>-0.11556498640168-0.579791776298644j</v>
      </c>
      <c r="Y194" s="86">
        <f t="shared" si="123"/>
        <v>-4.5653570949321347</v>
      </c>
      <c r="Z194" s="86">
        <f t="shared" si="124"/>
        <v>78.727450497798202</v>
      </c>
      <c r="AB194" s="86" t="str">
        <f t="shared" si="125"/>
        <v>-0.867878422487548-0.117902480729148j</v>
      </c>
      <c r="AC194" s="86">
        <f t="shared" si="126"/>
        <v>-1.1514011884952753</v>
      </c>
      <c r="AD194" s="86">
        <f t="shared" si="127"/>
        <v>7.7363496792184208</v>
      </c>
      <c r="AF194" s="86" t="str">
        <f t="shared" si="128"/>
        <v>-0.62520860678527-0.543164033567489j</v>
      </c>
      <c r="AG194" s="86">
        <f t="shared" si="129"/>
        <v>-1.6373098534957065</v>
      </c>
      <c r="AH194" s="86">
        <f t="shared" si="130"/>
        <v>40.983213061389989</v>
      </c>
      <c r="AJ194" s="86" t="str">
        <f t="shared" si="131"/>
        <v>41603.5788321789-51356.7717612143j</v>
      </c>
      <c r="AK194" s="86" t="str">
        <f t="shared" si="132"/>
        <v>20000-0.000100055244988183j</v>
      </c>
      <c r="AL194" s="86" t="str">
        <f t="shared" si="146"/>
        <v>10000-88839.8093467134j</v>
      </c>
      <c r="AM194" s="86" t="str">
        <f t="shared" si="147"/>
        <v>957.369749185662-27645.2950371862j</v>
      </c>
      <c r="AN194" s="86" t="str">
        <f t="shared" si="148"/>
        <v>10957.3697491857-27645.2950371862j</v>
      </c>
      <c r="AO194" s="86" t="str">
        <f t="shared" si="149"/>
        <v>12811.5659804412-6419.35606127371j</v>
      </c>
      <c r="AP194" s="86" t="str">
        <f t="shared" si="150"/>
        <v>0.191537964068782+0.159678570788796j</v>
      </c>
      <c r="AQ194" s="86" t="str">
        <f t="shared" si="133"/>
        <v>1+7.65422624159598j</v>
      </c>
      <c r="AR194" s="86">
        <f t="shared" si="134"/>
        <v>8.0853862955053398E-8</v>
      </c>
      <c r="AS194" s="86" t="str">
        <f t="shared" si="135"/>
        <v>0.000300933658969833j</v>
      </c>
      <c r="AT194" s="86" t="str">
        <f t="shared" si="136"/>
        <v>8.08538629550534E-08+0.000300933658969833j</v>
      </c>
      <c r="AU194" s="86" t="str">
        <f t="shared" si="137"/>
        <v>3.81537299214616-0.497423627743735j</v>
      </c>
      <c r="AW194" s="86" t="str">
        <f t="shared" si="151"/>
        <v>0.874273069951506+0.362348707145644j</v>
      </c>
      <c r="AX194" s="86">
        <f t="shared" si="138"/>
        <v>-0.47861676350999116</v>
      </c>
      <c r="AY194" s="86">
        <f t="shared" si="139"/>
        <v>-157.48808936407511</v>
      </c>
      <c r="AZ194" s="86" t="str">
        <f t="shared" si="140"/>
        <v>-0.716040921311388-0.417553588129934j</v>
      </c>
      <c r="BA194" s="86">
        <f t="shared" si="141"/>
        <v>-1.6300179520052647</v>
      </c>
      <c r="BB194" s="86">
        <f t="shared" si="142"/>
        <v>30.248260315143256</v>
      </c>
      <c r="BD194" s="86" t="str">
        <f t="shared" si="143"/>
        <v>-0.34978826268307-0.701417217479263j</v>
      </c>
      <c r="BE194" s="86">
        <f t="shared" si="144"/>
        <v>-2.1159266170056963</v>
      </c>
      <c r="BF194" s="86">
        <f t="shared" si="145"/>
        <v>63.49512369731481</v>
      </c>
      <c r="BH194" s="86">
        <f t="shared" si="152"/>
        <v>3.1159266170056963</v>
      </c>
      <c r="BI194" s="162">
        <f t="shared" si="153"/>
        <v>-63.49512369731481</v>
      </c>
      <c r="BJ194" s="88"/>
      <c r="BK194" s="88"/>
      <c r="BL194" s="88"/>
      <c r="BM194" s="88"/>
      <c r="BN194" s="42"/>
      <c r="BO194" s="42"/>
      <c r="BP194" s="42"/>
    </row>
    <row r="195" spans="1:68" s="86" customFormat="1">
      <c r="A195" s="86">
        <v>131</v>
      </c>
      <c r="B195" s="86">
        <f t="shared" si="103"/>
        <v>41686.938347033574</v>
      </c>
      <c r="C195" s="86" t="str">
        <f t="shared" si="104"/>
        <v>261926.758523383j</v>
      </c>
      <c r="D195" s="86">
        <f t="shared" si="105"/>
        <v>0.97860509906125726</v>
      </c>
      <c r="E195" s="86" t="str">
        <f t="shared" si="106"/>
        <v>-0.229760314494196j</v>
      </c>
      <c r="F195" s="86" t="str">
        <f t="shared" si="107"/>
        <v>0.978605099061257-0.229760314494196j</v>
      </c>
      <c r="G195" s="86">
        <f t="shared" si="108"/>
        <v>4.5181557642009589E-2</v>
      </c>
      <c r="H195" s="86">
        <f t="shared" si="109"/>
        <v>-13.21279440265827</v>
      </c>
      <c r="J195" s="86">
        <f t="shared" si="110"/>
        <v>8.3707025411061284</v>
      </c>
      <c r="K195" s="86" t="str">
        <f t="shared" si="111"/>
        <v>1+11.2450770150342j</v>
      </c>
      <c r="L195" s="86">
        <f t="shared" si="112"/>
        <v>-7.0128603301144476</v>
      </c>
      <c r="M195" s="86" t="str">
        <f t="shared" si="113"/>
        <v>0.771431074225034j</v>
      </c>
      <c r="N195" s="86" t="str">
        <f t="shared" si="114"/>
        <v>-7.01286033011445+0.771431074225034j</v>
      </c>
      <c r="O195" s="86" t="str">
        <f t="shared" si="115"/>
        <v>0.0333888691791679-1.59982079717721j</v>
      </c>
      <c r="P195" s="86" t="str">
        <f t="shared" si="116"/>
        <v>0.279488292082721-13.3916240122457j</v>
      </c>
      <c r="R195" s="86">
        <f t="shared" si="117"/>
        <v>11.958146487294469</v>
      </c>
      <c r="S195" s="86" t="str">
        <f t="shared" si="118"/>
        <v>1+0.0196445068892537j</v>
      </c>
      <c r="T195" s="86" t="str">
        <f t="shared" si="119"/>
        <v>-7.01286033011445+0.771431074225034j</v>
      </c>
      <c r="U195" s="86" t="str">
        <f t="shared" si="120"/>
        <v>-0.140585867087968-0.0182659866770357j</v>
      </c>
      <c r="V195" s="86" t="str">
        <f t="shared" si="121"/>
        <v>-1.68114639268123-0.218427344418962j</v>
      </c>
      <c r="X195" s="86" t="str">
        <f t="shared" si="122"/>
        <v>-0.116032266019481-0.54508501268084j</v>
      </c>
      <c r="Y195" s="86">
        <f t="shared" si="123"/>
        <v>-5.0782489538374467</v>
      </c>
      <c r="Z195" s="86">
        <f t="shared" si="124"/>
        <v>77.982816759777904</v>
      </c>
      <c r="AB195" s="86" t="str">
        <f t="shared" si="125"/>
        <v>-0.781836948234496-0.101582211468878j</v>
      </c>
      <c r="AC195" s="86">
        <f t="shared" si="126"/>
        <v>-2.0649740677986452</v>
      </c>
      <c r="AD195" s="86">
        <f t="shared" si="127"/>
        <v>7.4028337668628694</v>
      </c>
      <c r="AF195" s="86" t="str">
        <f t="shared" si="128"/>
        <v>-0.589464899526946-0.478400599304853j</v>
      </c>
      <c r="AG195" s="86">
        <f t="shared" si="129"/>
        <v>-2.3932425109428719</v>
      </c>
      <c r="AH195" s="86">
        <f t="shared" si="130"/>
        <v>39.062250113095018</v>
      </c>
      <c r="AJ195" s="86" t="str">
        <f t="shared" si="131"/>
        <v>39313.5204538094-50816.9927994357j</v>
      </c>
      <c r="AK195" s="86" t="str">
        <f t="shared" si="132"/>
        <v>20000-0.000104770703409353j</v>
      </c>
      <c r="AL195" s="86" t="str">
        <f t="shared" si="146"/>
        <v>10000-84841.3592696694j</v>
      </c>
      <c r="AM195" s="86" t="str">
        <f t="shared" si="147"/>
        <v>956.816784499085-26407.8543688553j</v>
      </c>
      <c r="AN195" s="86" t="str">
        <f t="shared" si="148"/>
        <v>10956.8167844991-26407.8543688553j</v>
      </c>
      <c r="AO195" s="86" t="str">
        <f t="shared" si="149"/>
        <v>12521.1498554427-6379.86737056759j</v>
      </c>
      <c r="AP195" s="86" t="str">
        <f t="shared" si="150"/>
        <v>0.194455880663375+0.166600514140391j</v>
      </c>
      <c r="AQ195" s="86" t="str">
        <f t="shared" si="133"/>
        <v>1+8.01495881081552j</v>
      </c>
      <c r="AR195" s="86">
        <f t="shared" si="134"/>
        <v>7.9006678189846617E-8</v>
      </c>
      <c r="AS195" s="86" t="str">
        <f t="shared" si="135"/>
        <v>0.000315116225376726j</v>
      </c>
      <c r="AT195" s="86" t="str">
        <f t="shared" si="136"/>
        <v>7.90066781898466E-08+0.000315116225376726j</v>
      </c>
      <c r="AU195" s="86" t="str">
        <f t="shared" si="137"/>
        <v>3.81535845372265-0.475058245647303j</v>
      </c>
      <c r="AW195" s="86" t="str">
        <f t="shared" si="151"/>
        <v>0.891679824840507+0.381384995864379j</v>
      </c>
      <c r="AX195" s="86">
        <f t="shared" si="138"/>
        <v>-0.26619301188434336</v>
      </c>
      <c r="AY195" s="86">
        <f t="shared" si="139"/>
        <v>-156.84286914170616</v>
      </c>
      <c r="AZ195" s="86" t="str">
        <f t="shared" si="140"/>
        <v>-0.65840630175462-0.388759689798513j</v>
      </c>
      <c r="BA195" s="86">
        <f t="shared" si="141"/>
        <v>-2.3311670796829791</v>
      </c>
      <c r="BB195" s="86">
        <f t="shared" si="142"/>
        <v>30.559964625156738</v>
      </c>
      <c r="BD195" s="86" t="str">
        <f t="shared" si="143"/>
        <v>-0.343159147772416-0.651393230860027j</v>
      </c>
      <c r="BE195" s="86">
        <f t="shared" si="144"/>
        <v>-2.6594355228272049</v>
      </c>
      <c r="BF195" s="86">
        <f t="shared" si="145"/>
        <v>62.219380971388915</v>
      </c>
      <c r="BH195" s="86">
        <f t="shared" si="152"/>
        <v>3.6594355228272049</v>
      </c>
      <c r="BI195" s="162">
        <f t="shared" si="153"/>
        <v>-62.219380971388915</v>
      </c>
      <c r="BJ195" s="88"/>
      <c r="BK195" s="88"/>
      <c r="BL195" s="88"/>
      <c r="BM195" s="88"/>
      <c r="BN195" s="42"/>
      <c r="BO195" s="42"/>
      <c r="BP195" s="42"/>
    </row>
    <row r="196" spans="1:68" s="86" customFormat="1">
      <c r="A196" s="86">
        <v>132</v>
      </c>
      <c r="B196" s="86">
        <f t="shared" si="103"/>
        <v>43651.58322401662</v>
      </c>
      <c r="C196" s="86" t="str">
        <f t="shared" si="104"/>
        <v>274270.986348268j</v>
      </c>
      <c r="D196" s="86">
        <f t="shared" si="105"/>
        <v>0.97654095761202531</v>
      </c>
      <c r="E196" s="86" t="str">
        <f t="shared" si="106"/>
        <v>-0.240588584516025j</v>
      </c>
      <c r="F196" s="86" t="str">
        <f t="shared" si="107"/>
        <v>0.976540957612025-0.240588584516025j</v>
      </c>
      <c r="G196" s="86">
        <f t="shared" si="108"/>
        <v>4.9723741656012385E-2</v>
      </c>
      <c r="H196" s="86">
        <f t="shared" si="109"/>
        <v>-13.840227363479206</v>
      </c>
      <c r="J196" s="86">
        <f t="shared" si="110"/>
        <v>8.3707025411061284</v>
      </c>
      <c r="K196" s="86" t="str">
        <f t="shared" si="111"/>
        <v>1+11.7750411674733j</v>
      </c>
      <c r="L196" s="86">
        <f t="shared" si="112"/>
        <v>-7.7859266407111338</v>
      </c>
      <c r="M196" s="86" t="str">
        <f t="shared" si="113"/>
        <v>0.807787500674604j</v>
      </c>
      <c r="N196" s="86" t="str">
        <f t="shared" si="114"/>
        <v>-7.78592664071113+0.807787500674604j</v>
      </c>
      <c r="O196" s="86" t="str">
        <f t="shared" si="115"/>
        <v>0.0281657422517555-1.5094271722886j</v>
      </c>
      <c r="P196" s="86" t="str">
        <f t="shared" si="116"/>
        <v>0.23576705023891-12.6349658666908j</v>
      </c>
      <c r="R196" s="86">
        <f t="shared" si="117"/>
        <v>11.958146487294469</v>
      </c>
      <c r="S196" s="86" t="str">
        <f t="shared" si="118"/>
        <v>1+0.0205703239761201j</v>
      </c>
      <c r="T196" s="86" t="str">
        <f t="shared" si="119"/>
        <v>-7.78592664071113+0.807787500674604j</v>
      </c>
      <c r="U196" s="86" t="str">
        <f t="shared" si="120"/>
        <v>-0.126797905915237-0.0157972317441369j</v>
      </c>
      <c r="V196" s="86" t="str">
        <f t="shared" si="121"/>
        <v>-1.51626793321659-0.188905611290127j</v>
      </c>
      <c r="X196" s="86" t="str">
        <f t="shared" si="122"/>
        <v>-0.116290430788821-0.513047014119418j</v>
      </c>
      <c r="Y196" s="86">
        <f t="shared" si="123"/>
        <v>-5.5792696018006351</v>
      </c>
      <c r="Z196" s="86">
        <f t="shared" si="124"/>
        <v>77.228781413746418</v>
      </c>
      <c r="AB196" s="86" t="str">
        <f t="shared" si="125"/>
        <v>-0.7051582769786-0.0878527814581878j</v>
      </c>
      <c r="AC196" s="86">
        <f t="shared" si="126"/>
        <v>-2.9673759863066262</v>
      </c>
      <c r="AD196" s="86">
        <f t="shared" si="127"/>
        <v>7.1016542256988942</v>
      </c>
      <c r="AF196" s="86" t="str">
        <f t="shared" si="128"/>
        <v>-0.553634115236009-0.420831825467986j</v>
      </c>
      <c r="AG196" s="86">
        <f t="shared" si="129"/>
        <v>-3.1550458477749248</v>
      </c>
      <c r="AH196" s="86">
        <f t="shared" si="130"/>
        <v>37.239418994178266</v>
      </c>
      <c r="AJ196" s="86" t="str">
        <f t="shared" si="131"/>
        <v>37075.7972712526-50183.104429504j</v>
      </c>
      <c r="AK196" s="86" t="str">
        <f t="shared" si="132"/>
        <v>20000-0.000109708394539307j</v>
      </c>
      <c r="AL196" s="86" t="str">
        <f t="shared" si="146"/>
        <v>10000-81022.869090515j</v>
      </c>
      <c r="AM196" s="86" t="str">
        <f t="shared" si="147"/>
        <v>956.211204497249-25226.4196802266j</v>
      </c>
      <c r="AN196" s="86" t="str">
        <f t="shared" si="148"/>
        <v>10956.2112044972-25226.4196802266j</v>
      </c>
      <c r="AO196" s="86" t="str">
        <f t="shared" si="149"/>
        <v>12235.0279809412-6327.72665633055j</v>
      </c>
      <c r="AP196" s="86" t="str">
        <f t="shared" si="150"/>
        <v>0.19763119903595+0.173764493636217j</v>
      </c>
      <c r="AQ196" s="86" t="str">
        <f t="shared" si="133"/>
        <v>1+8.392692182257j</v>
      </c>
      <c r="AR196" s="86">
        <f t="shared" si="134"/>
        <v>7.6981280370549746E-8</v>
      </c>
      <c r="AS196" s="86" t="str">
        <f t="shared" si="135"/>
        <v>0.000329967195546011j</v>
      </c>
      <c r="AT196" s="86" t="str">
        <f t="shared" si="136"/>
        <v>7.69812803705497E-08+0.000329967195546011j</v>
      </c>
      <c r="AU196" s="86" t="str">
        <f t="shared" si="137"/>
        <v>3.81534519424772-0.453700524969355j</v>
      </c>
      <c r="AW196" s="86" t="str">
        <f t="shared" si="151"/>
        <v>0.91049647419496+0.40026288305362j</v>
      </c>
      <c r="AX196" s="86">
        <f t="shared" si="138"/>
        <v>-4.7096558165788747E-2</v>
      </c>
      <c r="AY196" s="86">
        <f t="shared" si="139"/>
        <v>-156.26925406169337</v>
      </c>
      <c r="AZ196" s="86" t="str">
        <f t="shared" si="140"/>
        <v>-0.606879917347675-0.362238332718478j</v>
      </c>
      <c r="BA196" s="86">
        <f t="shared" si="141"/>
        <v>-3.0144725444724112</v>
      </c>
      <c r="BB196" s="86">
        <f t="shared" si="142"/>
        <v>30.832400164005492</v>
      </c>
      <c r="BD196" s="86" t="str">
        <f t="shared" si="143"/>
        <v>-0.335638550173899-0.604765080438835j</v>
      </c>
      <c r="BE196" s="86">
        <f t="shared" si="144"/>
        <v>-3.2021424059407138</v>
      </c>
      <c r="BF196" s="86">
        <f t="shared" si="145"/>
        <v>60.970164932484849</v>
      </c>
      <c r="BH196" s="86">
        <f t="shared" si="152"/>
        <v>4.2021424059407142</v>
      </c>
      <c r="BI196" s="162">
        <f t="shared" si="153"/>
        <v>-60.970164932484849</v>
      </c>
      <c r="BJ196" s="88"/>
      <c r="BK196" s="88"/>
      <c r="BL196" s="88"/>
      <c r="BM196" s="88"/>
      <c r="BN196" s="42"/>
      <c r="BO196" s="42"/>
      <c r="BP196" s="42"/>
    </row>
    <row r="197" spans="1:68" s="86" customFormat="1">
      <c r="A197" s="86">
        <v>133</v>
      </c>
      <c r="B197" s="86">
        <f t="shared" si="103"/>
        <v>45708.818961487559</v>
      </c>
      <c r="C197" s="86" t="str">
        <f t="shared" si="104"/>
        <v>287196.97970735j</v>
      </c>
      <c r="D197" s="86">
        <f t="shared" si="105"/>
        <v>0.97427767151918698</v>
      </c>
      <c r="E197" s="86" t="str">
        <f t="shared" si="106"/>
        <v>-0.251927175181886j</v>
      </c>
      <c r="F197" s="86" t="str">
        <f t="shared" si="107"/>
        <v>0.974277671519187-0.251927175181886j</v>
      </c>
      <c r="G197" s="86">
        <f t="shared" si="108"/>
        <v>5.4740696424173362E-2</v>
      </c>
      <c r="H197" s="86">
        <f t="shared" si="109"/>
        <v>-14.497896383878608</v>
      </c>
      <c r="J197" s="86">
        <f t="shared" si="110"/>
        <v>8.3707025411061284</v>
      </c>
      <c r="K197" s="86" t="str">
        <f t="shared" si="111"/>
        <v>1+12.3299817609359j</v>
      </c>
      <c r="L197" s="86">
        <f t="shared" si="112"/>
        <v>-8.6335769944533016</v>
      </c>
      <c r="M197" s="86" t="str">
        <f t="shared" si="113"/>
        <v>0.845857352715063j</v>
      </c>
      <c r="N197" s="86" t="str">
        <f t="shared" si="114"/>
        <v>-8.6335769944533+0.845857352715063j</v>
      </c>
      <c r="O197" s="86" t="str">
        <f t="shared" si="115"/>
        <v>0.0238635251414887-1.42580492774221j</v>
      </c>
      <c r="P197" s="86" t="str">
        <f t="shared" si="116"/>
        <v>0.199754470541609-11.9349889317734j</v>
      </c>
      <c r="R197" s="86">
        <f t="shared" si="117"/>
        <v>11.958146487294469</v>
      </c>
      <c r="S197" s="86" t="str">
        <f t="shared" si="118"/>
        <v>1+0.0215397734780512j</v>
      </c>
      <c r="T197" s="86" t="str">
        <f t="shared" si="119"/>
        <v>-8.6335769944533+0.845857352715063j</v>
      </c>
      <c r="U197" s="86" t="str">
        <f t="shared" si="120"/>
        <v>-0.11448352180907-0.0137111769827292j</v>
      </c>
      <c r="V197" s="86" t="str">
        <f t="shared" si="121"/>
        <v>-1.36901072417423-0.163960262872696j</v>
      </c>
      <c r="X197" s="86" t="str">
        <f t="shared" si="122"/>
        <v>-0.11639553594796-0.483371362199545j</v>
      </c>
      <c r="Y197" s="86">
        <f t="shared" si="123"/>
        <v>-6.0695892195224026</v>
      </c>
      <c r="Z197" s="86">
        <f t="shared" si="124"/>
        <v>76.460966642130813</v>
      </c>
      <c r="AB197" s="86" t="str">
        <f t="shared" si="125"/>
        <v>-0.636674575960995-0.0762516531065841j</v>
      </c>
      <c r="AC197" s="86">
        <f t="shared" si="126"/>
        <v>-3.8597981558855854</v>
      </c>
      <c r="AD197" s="86">
        <f t="shared" si="127"/>
        <v>6.8295282858004782</v>
      </c>
      <c r="AF197" s="86" t="str">
        <f t="shared" si="128"/>
        <v>-0.518245450043626-0.369799696064735j</v>
      </c>
      <c r="AG197" s="86">
        <f t="shared" si="129"/>
        <v>-3.9219107804289144</v>
      </c>
      <c r="AH197" s="86">
        <f t="shared" si="130"/>
        <v>35.510170026416148</v>
      </c>
      <c r="AJ197" s="86" t="str">
        <f t="shared" si="131"/>
        <v>34897.7757210582-49461.2141018984j</v>
      </c>
      <c r="AK197" s="86" t="str">
        <f t="shared" si="132"/>
        <v>20000-0.00011487879188294j</v>
      </c>
      <c r="AL197" s="86" t="str">
        <f t="shared" si="146"/>
        <v>9999.99999999992-77376.2392796271j</v>
      </c>
      <c r="AM197" s="86" t="str">
        <f t="shared" si="147"/>
        <v>955.54807967643-24098.4837316786j</v>
      </c>
      <c r="AN197" s="86" t="str">
        <f t="shared" si="148"/>
        <v>10955.5480796764-24098.4837316786j</v>
      </c>
      <c r="AO197" s="86" t="str">
        <f t="shared" si="149"/>
        <v>11954.2838984336-6263.48330094228j</v>
      </c>
      <c r="AP197" s="86" t="str">
        <f t="shared" si="150"/>
        <v>0.201084217853641+0.181170718291563j</v>
      </c>
      <c r="AQ197" s="86" t="str">
        <f t="shared" si="133"/>
        <v>1+8.78822757904491j</v>
      </c>
      <c r="AR197" s="86">
        <f t="shared" si="134"/>
        <v>7.4760475823174655E-8</v>
      </c>
      <c r="AS197" s="86" t="str">
        <f t="shared" si="135"/>
        <v>0.000345518070376522j</v>
      </c>
      <c r="AT197" s="86" t="str">
        <f t="shared" si="136"/>
        <v>7.47604758231747E-08+0.000345518070376522j</v>
      </c>
      <c r="AU197" s="86" t="str">
        <f t="shared" si="137"/>
        <v>3.81533310116127-0.433305163225716j</v>
      </c>
      <c r="AW197" s="86" t="str">
        <f t="shared" si="151"/>
        <v>0.930809531643768+0.418898934729203j</v>
      </c>
      <c r="AX197" s="86">
        <f t="shared" si="138"/>
        <v>0.17818827538451881</v>
      </c>
      <c r="AY197" s="86">
        <f t="shared" si="139"/>
        <v>-155.7704812384593</v>
      </c>
      <c r="AZ197" s="86" t="str">
        <f t="shared" si="140"/>
        <v>-0.560681027602059-0.33767806715443j</v>
      </c>
      <c r="BA197" s="86">
        <f t="shared" si="141"/>
        <v>-3.6816098805010764</v>
      </c>
      <c r="BB197" s="86">
        <f t="shared" si="142"/>
        <v>31.059047047341153</v>
      </c>
      <c r="BD197" s="86" t="str">
        <f t="shared" si="143"/>
        <v>-0.32747910588692-0.561305548847555j</v>
      </c>
      <c r="BE197" s="86">
        <f t="shared" si="144"/>
        <v>-3.743722505044401</v>
      </c>
      <c r="BF197" s="86">
        <f t="shared" si="145"/>
        <v>59.739688787956908</v>
      </c>
      <c r="BH197" s="86">
        <f t="shared" si="152"/>
        <v>4.743722505044401</v>
      </c>
      <c r="BI197" s="162">
        <f t="shared" si="153"/>
        <v>-59.739688787956908</v>
      </c>
      <c r="BJ197" s="88"/>
      <c r="BK197" s="88"/>
      <c r="BL197" s="88"/>
      <c r="BM197" s="88"/>
      <c r="BN197" s="42"/>
      <c r="BO197" s="42"/>
      <c r="BP197" s="42"/>
    </row>
    <row r="198" spans="1:68" s="86" customFormat="1">
      <c r="A198" s="86">
        <v>134</v>
      </c>
      <c r="B198" s="86">
        <f t="shared" si="103"/>
        <v>47863.009232263888</v>
      </c>
      <c r="C198" s="86" t="str">
        <f t="shared" si="104"/>
        <v>300732.156365561j</v>
      </c>
      <c r="D198" s="86">
        <f t="shared" si="105"/>
        <v>0.97179602766675566</v>
      </c>
      <c r="E198" s="86" t="str">
        <f t="shared" si="106"/>
        <v>-0.263800137162773j</v>
      </c>
      <c r="F198" s="86" t="str">
        <f t="shared" si="107"/>
        <v>0.971796027666756-0.263800137162773j</v>
      </c>
      <c r="G198" s="86">
        <f t="shared" si="108"/>
        <v>6.0285459337039424E-2</v>
      </c>
      <c r="H198" s="86">
        <f t="shared" si="109"/>
        <v>-15.187316040299139</v>
      </c>
      <c r="J198" s="86">
        <f t="shared" si="110"/>
        <v>8.3707025411061284</v>
      </c>
      <c r="K198" s="86" t="str">
        <f t="shared" si="111"/>
        <v>1+12.9110758988229j</v>
      </c>
      <c r="L198" s="86">
        <f t="shared" si="112"/>
        <v>-9.5630071252846349</v>
      </c>
      <c r="M198" s="86" t="str">
        <f t="shared" si="113"/>
        <v>0.885721381606701j</v>
      </c>
      <c r="N198" s="86" t="str">
        <f t="shared" si="114"/>
        <v>-9.56300712528463+0.885721381606701j</v>
      </c>
      <c r="O198" s="86" t="str">
        <f t="shared" si="115"/>
        <v>0.0203024504926104-1.34822586822436j</v>
      </c>
      <c r="P198" s="86" t="str">
        <f t="shared" si="116"/>
        <v>0.169945773929175-11.2855977011307j</v>
      </c>
      <c r="R198" s="86">
        <f t="shared" si="117"/>
        <v>11.958146487294469</v>
      </c>
      <c r="S198" s="86" t="str">
        <f t="shared" si="118"/>
        <v>1+0.0225549117274171j</v>
      </c>
      <c r="T198" s="86" t="str">
        <f t="shared" si="119"/>
        <v>-9.56300712528463+0.885721381606701j</v>
      </c>
      <c r="U198" s="86" t="str">
        <f t="shared" si="120"/>
        <v>-0.103463618893608-0.0119413119433908j</v>
      </c>
      <c r="V198" s="86" t="str">
        <f t="shared" si="121"/>
        <v>-1.23723311083537-0.142795957469546j</v>
      </c>
      <c r="X198" s="86" t="str">
        <f t="shared" si="122"/>
        <v>-0.116389652972484-0.455797588160784j</v>
      </c>
      <c r="Y198" s="86">
        <f t="shared" si="123"/>
        <v>-6.550225253706909</v>
      </c>
      <c r="Z198" s="86">
        <f t="shared" si="124"/>
        <v>75.675415375510795</v>
      </c>
      <c r="AB198" s="86" t="str">
        <f t="shared" si="125"/>
        <v>-0.575389843407656-0.0664089433818759j</v>
      </c>
      <c r="AC198" s="86">
        <f t="shared" si="126"/>
        <v>-4.743286798643032</v>
      </c>
      <c r="AD198" s="86">
        <f t="shared" si="127"/>
        <v>6.5836945845702246</v>
      </c>
      <c r="AF198" s="86" t="str">
        <f t="shared" si="128"/>
        <v>-0.483704951048666-0.324668553753767j</v>
      </c>
      <c r="AG198" s="86">
        <f t="shared" si="129"/>
        <v>-4.6931356340222692</v>
      </c>
      <c r="AH198" s="86">
        <f t="shared" si="130"/>
        <v>33.869984956955363</v>
      </c>
      <c r="AJ198" s="86" t="str">
        <f t="shared" si="131"/>
        <v>32785.943737292-48658.05160167j</v>
      </c>
      <c r="AK198" s="86" t="str">
        <f t="shared" si="132"/>
        <v>20000-0.000120292862546224j</v>
      </c>
      <c r="AL198" s="86" t="str">
        <f t="shared" si="146"/>
        <v>10000-73893.7348462651j</v>
      </c>
      <c r="AM198" s="86" t="str">
        <f t="shared" si="147"/>
        <v>954.822034092679-23021.6525799899j</v>
      </c>
      <c r="AN198" s="86" t="str">
        <f t="shared" si="148"/>
        <v>10954.8220340927-23021.6525799899j</v>
      </c>
      <c r="AO198" s="86" t="str">
        <f t="shared" si="149"/>
        <v>11679.9155202024-6187.79503987729j</v>
      </c>
      <c r="AP198" s="86" t="str">
        <f t="shared" si="150"/>
        <v>0.204836378418056+0.188818050216484j</v>
      </c>
      <c r="AQ198" s="86" t="str">
        <f t="shared" si="133"/>
        <v>1+9.20240398478617j</v>
      </c>
      <c r="AR198" s="86">
        <f t="shared" si="134"/>
        <v>7.2325412059082262E-8</v>
      </c>
      <c r="AS198" s="86" t="str">
        <f t="shared" si="135"/>
        <v>0.000361801835358715j</v>
      </c>
      <c r="AT198" s="86" t="str">
        <f t="shared" si="136"/>
        <v>7.23254120590823E-08+0.000361801835358715j</v>
      </c>
      <c r="AU198" s="86" t="str">
        <f t="shared" si="137"/>
        <v>3.81532207180477-0.413828899211005j</v>
      </c>
      <c r="AW198" s="86" t="str">
        <f t="shared" si="151"/>
        <v>0.952705352523744+0.437195536991295j</v>
      </c>
      <c r="AX198" s="86">
        <f t="shared" si="138"/>
        <v>0.4091368103335401</v>
      </c>
      <c r="AY198" s="86">
        <f t="shared" si="139"/>
        <v>-155.34965693792358</v>
      </c>
      <c r="AZ198" s="86" t="str">
        <f t="shared" si="140"/>
        <v>-0.519143289939409-0.314826027383307j</v>
      </c>
      <c r="BA198" s="86">
        <f t="shared" si="141"/>
        <v>-4.3341499883094903</v>
      </c>
      <c r="BB198" s="86">
        <f t="shared" si="142"/>
        <v>31.234037646646669</v>
      </c>
      <c r="BD198" s="86" t="str">
        <f t="shared" si="143"/>
        <v>-0.318884653203734-0.520787114776426j</v>
      </c>
      <c r="BE198" s="86">
        <f t="shared" si="144"/>
        <v>-4.2839988236887372</v>
      </c>
      <c r="BF198" s="86">
        <f t="shared" si="145"/>
        <v>58.520328019031808</v>
      </c>
      <c r="BH198" s="86">
        <f t="shared" si="152"/>
        <v>5.2839988236887372</v>
      </c>
      <c r="BI198" s="162">
        <f t="shared" si="153"/>
        <v>-58.520328019031808</v>
      </c>
      <c r="BJ198" s="88"/>
      <c r="BK198" s="88"/>
      <c r="BL198" s="88"/>
      <c r="BM198" s="88"/>
      <c r="BN198" s="42"/>
      <c r="BO198" s="42"/>
      <c r="BP198" s="42"/>
    </row>
    <row r="199" spans="1:68" s="86" customFormat="1">
      <c r="A199" s="86">
        <v>135</v>
      </c>
      <c r="B199" s="86">
        <f t="shared" si="103"/>
        <v>50118.723362727265</v>
      </c>
      <c r="C199" s="86" t="str">
        <f t="shared" si="104"/>
        <v>314905.226247286j</v>
      </c>
      <c r="D199" s="86">
        <f t="shared" si="105"/>
        <v>0.96907495929197196</v>
      </c>
      <c r="E199" s="86" t="str">
        <f t="shared" si="106"/>
        <v>-0.276232654602882j</v>
      </c>
      <c r="F199" s="86" t="str">
        <f t="shared" si="107"/>
        <v>0.969074959291972-0.276232654602882j</v>
      </c>
      <c r="G199" s="86">
        <f t="shared" si="108"/>
        <v>6.6417595528226583E-2</v>
      </c>
      <c r="H199" s="86">
        <f t="shared" si="109"/>
        <v>-15.91008322223246</v>
      </c>
      <c r="J199" s="86">
        <f t="shared" si="110"/>
        <v>8.3707025411061284</v>
      </c>
      <c r="K199" s="86" t="str">
        <f t="shared" si="111"/>
        <v>1+13.5195561597094j</v>
      </c>
      <c r="L199" s="86">
        <f t="shared" si="112"/>
        <v>-10.582106998579714</v>
      </c>
      <c r="M199" s="86" t="str">
        <f t="shared" si="113"/>
        <v>0.927464144299462j</v>
      </c>
      <c r="N199" s="86" t="str">
        <f t="shared" si="114"/>
        <v>-10.5821069985797+0.927464144299462j</v>
      </c>
      <c r="O199" s="86" t="str">
        <f t="shared" si="115"/>
        <v>0.0173411569820743-1.27606655840848j</v>
      </c>
      <c r="P199" s="86" t="str">
        <f t="shared" si="116"/>
        <v>0.14515766681557-10.6815735830904j</v>
      </c>
      <c r="R199" s="86">
        <f t="shared" si="117"/>
        <v>11.958146487294469</v>
      </c>
      <c r="S199" s="86" t="str">
        <f t="shared" si="118"/>
        <v>1+0.0236178919685464j</v>
      </c>
      <c r="T199" s="86" t="str">
        <f t="shared" si="119"/>
        <v>-10.5821069985797+0.927464144299462j</v>
      </c>
      <c r="U199" s="86" t="str">
        <f t="shared" si="120"/>
        <v>-0.0935846506804585-0.0104340562750198j</v>
      </c>
      <c r="V199" s="86" t="str">
        <f t="shared" si="121"/>
        <v>-1.1190989617992-0.124771973393361j</v>
      </c>
      <c r="X199" s="86" t="str">
        <f t="shared" si="122"/>
        <v>-0.116304437080066-0.430102864550419j</v>
      </c>
      <c r="Y199" s="86">
        <f t="shared" si="123"/>
        <v>-7.0220624273423624</v>
      </c>
      <c r="Z199" s="86">
        <f t="shared" si="124"/>
        <v>74.868492114731623</v>
      </c>
      <c r="AB199" s="86" t="str">
        <f t="shared" si="125"/>
        <v>-0.520450164765267-0.0580266771101821j</v>
      </c>
      <c r="AC199" s="86">
        <f t="shared" si="126"/>
        <v>-5.6187637482747634</v>
      </c>
      <c r="AD199" s="86">
        <f t="shared" si="127"/>
        <v>6.3618184213816278</v>
      </c>
      <c r="AF199" s="86" t="str">
        <f t="shared" si="128"/>
        <v>-0.450314954321308-0.284836135288453j</v>
      </c>
      <c r="AG199" s="86">
        <f t="shared" si="129"/>
        <v>-5.4681138343440372</v>
      </c>
      <c r="AH199" s="86">
        <f t="shared" si="130"/>
        <v>32.314436942058563</v>
      </c>
      <c r="AJ199" s="86" t="str">
        <f t="shared" si="131"/>
        <v>30745.8588227707-47780.8260878899j</v>
      </c>
      <c r="AK199" s="86" t="str">
        <f t="shared" si="132"/>
        <v>20000-0.000125962090498914j</v>
      </c>
      <c r="AL199" s="86" t="str">
        <f t="shared" si="146"/>
        <v>10000-70567.9689316166j</v>
      </c>
      <c r="AM199" s="86" t="str">
        <f t="shared" si="147"/>
        <v>954.02720802033-21993.6404747807j</v>
      </c>
      <c r="AN199" s="86" t="str">
        <f t="shared" si="148"/>
        <v>10954.0272080203-21993.6404747807j</v>
      </c>
      <c r="AO199" s="86" t="str">
        <f t="shared" si="149"/>
        <v>11412.8225252625-6101.41267711314j</v>
      </c>
      <c r="AP199" s="86" t="str">
        <f t="shared" si="150"/>
        <v>0.208910239143087+0.196703808673131j</v>
      </c>
      <c r="AQ199" s="86" t="str">
        <f t="shared" si="133"/>
        <v>1+9.63609992316695j</v>
      </c>
      <c r="AR199" s="86">
        <f t="shared" si="134"/>
        <v>6.9655417735536546E-8</v>
      </c>
      <c r="AS199" s="86" t="str">
        <f t="shared" si="135"/>
        <v>0.000378853030541322j</v>
      </c>
      <c r="AT199" s="86" t="str">
        <f t="shared" si="136"/>
        <v>6.96554177355365E-08+0.000378853030541322j</v>
      </c>
      <c r="AU199" s="86" t="str">
        <f t="shared" si="137"/>
        <v>3.81531201254962-0.395230421237563j</v>
      </c>
      <c r="AW199" s="86" t="str">
        <f t="shared" si="151"/>
        <v>0.976268820334126+0.455039684915055j</v>
      </c>
      <c r="AX199" s="86">
        <f t="shared" si="138"/>
        <v>0.64518608164411329</v>
      </c>
      <c r="AY199" s="86">
        <f t="shared" si="139"/>
        <v>-155.00973568712078</v>
      </c>
      <c r="AZ199" s="86" t="str">
        <f t="shared" si="140"/>
        <v>-0.481694827529203-0.293475114599042j</v>
      </c>
      <c r="BA199" s="86">
        <f t="shared" si="141"/>
        <v>-4.9735776666306624</v>
      </c>
      <c r="BB199" s="86">
        <f t="shared" si="142"/>
        <v>31.352082734260847</v>
      </c>
      <c r="BD199" s="86" t="str">
        <f t="shared" si="143"/>
        <v>-0.310016703979999-0.482987812713494j</v>
      </c>
      <c r="BE199" s="86">
        <f t="shared" si="144"/>
        <v>-4.8229277526999406</v>
      </c>
      <c r="BF199" s="86">
        <f t="shared" si="145"/>
        <v>57.304701254937783</v>
      </c>
      <c r="BH199" s="86">
        <f t="shared" si="152"/>
        <v>5.8229277526999406</v>
      </c>
      <c r="BI199" s="162">
        <f t="shared" si="153"/>
        <v>-57.304701254937783</v>
      </c>
      <c r="BJ199" s="88"/>
      <c r="BK199" s="88"/>
      <c r="BL199" s="88"/>
      <c r="BM199" s="88"/>
      <c r="BN199" s="42"/>
      <c r="BO199" s="42"/>
      <c r="BP199" s="42"/>
    </row>
    <row r="200" spans="1:68" s="86" customFormat="1">
      <c r="A200" s="86">
        <v>136</v>
      </c>
      <c r="B200" s="86">
        <f t="shared" si="103"/>
        <v>52480.746024977292</v>
      </c>
      <c r="C200" s="86" t="str">
        <f t="shared" si="104"/>
        <v>329746.252333961j</v>
      </c>
      <c r="D200" s="86">
        <f t="shared" si="105"/>
        <v>0.96609136714880683</v>
      </c>
      <c r="E200" s="86" t="str">
        <f t="shared" si="106"/>
        <v>-0.289251098538562j</v>
      </c>
      <c r="F200" s="86" t="str">
        <f t="shared" si="107"/>
        <v>0.966091367148807-0.289251098538562j</v>
      </c>
      <c r="G200" s="86">
        <f t="shared" si="108"/>
        <v>7.320409599602308E-2</v>
      </c>
      <c r="H200" s="86">
        <f t="shared" si="109"/>
        <v>-16.667882030669929</v>
      </c>
      <c r="J200" s="86">
        <f t="shared" si="110"/>
        <v>8.3707025411061284</v>
      </c>
      <c r="K200" s="86" t="str">
        <f t="shared" si="111"/>
        <v>1+14.1567132118091j</v>
      </c>
      <c r="L200" s="86">
        <f t="shared" si="112"/>
        <v>-11.69952778934004</v>
      </c>
      <c r="M200" s="86" t="str">
        <f t="shared" si="113"/>
        <v>0.971174182789567j</v>
      </c>
      <c r="N200" s="86" t="str">
        <f t="shared" si="114"/>
        <v>-11.69952778934+0.971174182789567j</v>
      </c>
      <c r="O200" s="86" t="str">
        <f t="shared" si="115"/>
        <v>0.014867761790461-1.20879015632477j</v>
      </c>
      <c r="P200" s="86" t="str">
        <f t="shared" si="116"/>
        <v>0.124453611399973-10.1184228332118j</v>
      </c>
      <c r="R200" s="86">
        <f t="shared" si="117"/>
        <v>11.958146487294469</v>
      </c>
      <c r="S200" s="86" t="str">
        <f t="shared" si="118"/>
        <v>1+0.0247309689250471j</v>
      </c>
      <c r="T200" s="86" t="str">
        <f t="shared" si="119"/>
        <v>-11.69952778934+0.971174182789567j</v>
      </c>
      <c r="U200" s="86" t="str">
        <f t="shared" si="120"/>
        <v>-0.0847143323707229-0.00914595386774871j</v>
      </c>
      <c r="V200" s="86" t="str">
        <f t="shared" si="121"/>
        <v>-1.01302639606246-0.109368656116576j</v>
      </c>
      <c r="X200" s="86" t="str">
        <f t="shared" si="122"/>
        <v>-0.116163733979865-0.406095403146099j</v>
      </c>
      <c r="Y200" s="86">
        <f t="shared" si="123"/>
        <v>-7.4858691788967571</v>
      </c>
      <c r="Z200" s="86">
        <f t="shared" si="124"/>
        <v>74.036803595371083</v>
      </c>
      <c r="AB200" s="86" t="str">
        <f t="shared" si="125"/>
        <v>-0.471119867625141-0.0508631828274728j</v>
      </c>
      <c r="AC200" s="86">
        <f t="shared" si="126"/>
        <v>-6.4870436100716091</v>
      </c>
      <c r="AD200" s="86">
        <f t="shared" si="127"/>
        <v>6.1619170884980008</v>
      </c>
      <c r="AF200" s="86" t="str">
        <f t="shared" si="128"/>
        <v>-0.418291805009796-0.249740331441216j</v>
      </c>
      <c r="AG200" s="86">
        <f t="shared" si="129"/>
        <v>-6.246322325724516</v>
      </c>
      <c r="AH200" s="86">
        <f t="shared" si="130"/>
        <v>30.839233633449112</v>
      </c>
      <c r="AJ200" s="86" t="str">
        <f t="shared" si="131"/>
        <v>28782.1216567817-46837.0819639343j</v>
      </c>
      <c r="AK200" s="86" t="str">
        <f t="shared" si="132"/>
        <v>20000-0.000131898500933584j</v>
      </c>
      <c r="AL200" s="86" t="str">
        <f t="shared" si="146"/>
        <v>10000-67391.8871402852j</v>
      </c>
      <c r="AM200" s="86" t="str">
        <f t="shared" si="147"/>
        <v>953.157218115449-21012.2649809515j</v>
      </c>
      <c r="AN200" s="86" t="str">
        <f t="shared" si="148"/>
        <v>10953.1572181154-21012.2649809515j</v>
      </c>
      <c r="AO200" s="86" t="str">
        <f t="shared" si="149"/>
        <v>11153.79680631-6005.16335845389j</v>
      </c>
      <c r="AP200" s="86" t="str">
        <f t="shared" si="150"/>
        <v>0.213329428169628+0.204823559726217j</v>
      </c>
      <c r="AQ200" s="86" t="str">
        <f t="shared" si="133"/>
        <v>1+10.0902353214192j</v>
      </c>
      <c r="AR200" s="86">
        <f t="shared" si="134"/>
        <v>6.6727827175942648E-8</v>
      </c>
      <c r="AS200" s="86" t="str">
        <f t="shared" si="135"/>
        <v>0.000396707823795418j</v>
      </c>
      <c r="AT200" s="86" t="str">
        <f t="shared" si="136"/>
        <v>6.67278271759426E-08+0.000396707823795418j</v>
      </c>
      <c r="AU200" s="86" t="str">
        <f t="shared" si="137"/>
        <v>3.8153028380025-0.377470279509348j</v>
      </c>
      <c r="AW200" s="86" t="str">
        <f t="shared" si="151"/>
        <v>1.00158175699027+0.472301795065707j</v>
      </c>
      <c r="AX200" s="86">
        <f t="shared" si="138"/>
        <v>0.88573708436583187</v>
      </c>
      <c r="AY200" s="86">
        <f t="shared" si="139"/>
        <v>-154.75350179894428</v>
      </c>
      <c r="AZ200" s="86" t="str">
        <f t="shared" si="140"/>
        <v>-0.447842292216841-0.27345439519293j</v>
      </c>
      <c r="BA200" s="86">
        <f t="shared" si="141"/>
        <v>-5.6013065257057839</v>
      </c>
      <c r="BB200" s="86">
        <f t="shared" si="142"/>
        <v>31.408415289553773</v>
      </c>
      <c r="BD200" s="86" t="str">
        <f t="shared" si="143"/>
        <v>-0.301000634156351-0.447695330323626j</v>
      </c>
      <c r="BE200" s="86">
        <f t="shared" si="144"/>
        <v>-5.3605852413587041</v>
      </c>
      <c r="BF200" s="86">
        <f t="shared" si="145"/>
        <v>56.08573183450487</v>
      </c>
      <c r="BH200" s="86">
        <f t="shared" si="152"/>
        <v>6.3605852413587041</v>
      </c>
      <c r="BI200" s="162">
        <f t="shared" si="153"/>
        <v>-56.08573183450487</v>
      </c>
      <c r="BJ200" s="88"/>
      <c r="BK200" s="88"/>
      <c r="BL200" s="88"/>
      <c r="BM200" s="88"/>
      <c r="BN200" s="42"/>
      <c r="BO200" s="42"/>
      <c r="BP200" s="42"/>
    </row>
    <row r="201" spans="1:68" s="86" customFormat="1">
      <c r="A201" s="86">
        <v>137</v>
      </c>
      <c r="B201" s="86">
        <f t="shared" si="103"/>
        <v>54954.087385762534</v>
      </c>
      <c r="C201" s="86" t="str">
        <f t="shared" si="104"/>
        <v>345286.714431686j</v>
      </c>
      <c r="D201" s="86">
        <f t="shared" si="105"/>
        <v>0.962819923417642</v>
      </c>
      <c r="E201" s="86" t="str">
        <f t="shared" si="106"/>
        <v>-0.302883082834812j</v>
      </c>
      <c r="F201" s="86" t="str">
        <f t="shared" si="107"/>
        <v>0.962819923417642-0.302883082834812j</v>
      </c>
      <c r="G201" s="86">
        <f t="shared" si="108"/>
        <v>8.0720411051182342E-2</v>
      </c>
      <c r="H201" s="86">
        <f t="shared" si="109"/>
        <v>-17.462488905439191</v>
      </c>
      <c r="J201" s="86">
        <f t="shared" si="110"/>
        <v>8.3707025411061284</v>
      </c>
      <c r="K201" s="86" t="str">
        <f t="shared" si="111"/>
        <v>1+14.8238985506546j</v>
      </c>
      <c r="L201" s="86">
        <f t="shared" si="112"/>
        <v>-12.924755322325881</v>
      </c>
      <c r="M201" s="86" t="str">
        <f t="shared" si="113"/>
        <v>1.01694421192896j</v>
      </c>
      <c r="N201" s="86" t="str">
        <f t="shared" si="114"/>
        <v>-12.9247553223259+1.01694421192896j</v>
      </c>
      <c r="O201" s="86" t="str">
        <f t="shared" si="115"/>
        <v>0.0127931820685242-1.14593183614191j</v>
      </c>
      <c r="P201" s="86" t="str">
        <f t="shared" si="116"/>
        <v>0.107087921649829-9.5922545327275j</v>
      </c>
      <c r="R201" s="86">
        <f t="shared" si="117"/>
        <v>11.958146487294469</v>
      </c>
      <c r="S201" s="86" t="str">
        <f t="shared" si="118"/>
        <v>1+0.0258965035823764j</v>
      </c>
      <c r="T201" s="86" t="str">
        <f t="shared" si="119"/>
        <v>-12.9247553223259+1.01694421192896j</v>
      </c>
      <c r="U201" s="86" t="str">
        <f t="shared" si="120"/>
        <v>-0.0767381800698593-0.00804154113918485j</v>
      </c>
      <c r="V201" s="86" t="str">
        <f t="shared" si="121"/>
        <v>-0.917646398443758-0.0961619269259773j</v>
      </c>
      <c r="X201" s="86" t="str">
        <f t="shared" si="122"/>
        <v>-0.115985501493998-0.383609170194128j</v>
      </c>
      <c r="Y201" s="86">
        <f t="shared" si="123"/>
        <v>-7.9423111699484998</v>
      </c>
      <c r="Z201" s="86">
        <f t="shared" si="124"/>
        <v>73.177134557289833</v>
      </c>
      <c r="AB201" s="86" t="str">
        <f t="shared" si="125"/>
        <v>-0.426762275338435-0.044721237728885j</v>
      </c>
      <c r="AC201" s="86">
        <f t="shared" si="126"/>
        <v>-7.3488481363567262</v>
      </c>
      <c r="AD201" s="86">
        <f t="shared" si="127"/>
        <v>5.9823005317931859</v>
      </c>
      <c r="AF201" s="86" t="str">
        <f t="shared" si="128"/>
        <v>-0.38778157449544-0.218862706510621j</v>
      </c>
      <c r="AG201" s="86">
        <f t="shared" si="129"/>
        <v>-7.0273109122900319</v>
      </c>
      <c r="AH201" s="86">
        <f t="shared" si="130"/>
        <v>29.440246690350136</v>
      </c>
      <c r="AJ201" s="86" t="str">
        <f t="shared" si="131"/>
        <v>26898.3738631946-45834.5583501275j</v>
      </c>
      <c r="AK201" s="86" t="str">
        <f t="shared" si="132"/>
        <v>20000-0.000138114685772674j</v>
      </c>
      <c r="AL201" s="86" t="str">
        <f t="shared" si="146"/>
        <v>10000-64358.7525769654j</v>
      </c>
      <c r="AM201" s="86" t="str">
        <f t="shared" si="147"/>
        <v>952.205115051587-20075.4423163262j</v>
      </c>
      <c r="AN201" s="86" t="str">
        <f t="shared" si="148"/>
        <v>10952.2051150516-20075.4423163262j</v>
      </c>
      <c r="AO201" s="86" t="str">
        <f t="shared" si="149"/>
        <v>10903.5160792455-5899.93306003318j</v>
      </c>
      <c r="AP201" s="86" t="str">
        <f t="shared" si="150"/>
        <v>0.218118570160402+0.213170892714467j</v>
      </c>
      <c r="AQ201" s="86" t="str">
        <f t="shared" si="133"/>
        <v>1+10.5657734616096j</v>
      </c>
      <c r="AR201" s="86">
        <f t="shared" si="134"/>
        <v>6.3517787960113111E-8</v>
      </c>
      <c r="AS201" s="86" t="str">
        <f t="shared" si="135"/>
        <v>0.000415404087531328j</v>
      </c>
      <c r="AT201" s="86" t="str">
        <f t="shared" si="136"/>
        <v>6.35177879601131E-08+0.000415404087531328j</v>
      </c>
      <c r="AU201" s="86" t="str">
        <f t="shared" si="137"/>
        <v>3.81529447028038-0.36051080244495j</v>
      </c>
      <c r="AW201" s="86" t="str">
        <f t="shared" si="151"/>
        <v>1.02872102764268+0.488834581703612j</v>
      </c>
      <c r="AX201" s="86">
        <f t="shared" si="138"/>
        <v>1.1301571183848069</v>
      </c>
      <c r="AY201" s="86">
        <f t="shared" si="139"/>
        <v>-154.58355320631148</v>
      </c>
      <c r="AZ201" s="86" t="str">
        <f t="shared" si="140"/>
        <v>-0.417158038906816-0.254621835985857j</v>
      </c>
      <c r="BA201" s="86">
        <f t="shared" si="141"/>
        <v>-6.2186910179719135</v>
      </c>
      <c r="BB201" s="86">
        <f t="shared" si="142"/>
        <v>31.398747325481708</v>
      </c>
      <c r="BD201" s="86" t="str">
        <f t="shared" si="143"/>
        <v>-0.291931400228206-0.414709712115112j</v>
      </c>
      <c r="BE201" s="86">
        <f t="shared" si="144"/>
        <v>-5.8971537939052032</v>
      </c>
      <c r="BF201" s="86">
        <f t="shared" si="145"/>
        <v>54.856693484038701</v>
      </c>
      <c r="BH201" s="86">
        <f t="shared" si="152"/>
        <v>6.8971537939052032</v>
      </c>
      <c r="BI201" s="162">
        <f t="shared" si="153"/>
        <v>-54.856693484038701</v>
      </c>
      <c r="BJ201" s="88"/>
      <c r="BK201" s="88"/>
      <c r="BL201" s="88"/>
      <c r="BM201" s="88"/>
      <c r="BN201" s="42"/>
      <c r="BO201" s="42"/>
      <c r="BP201" s="42"/>
    </row>
    <row r="202" spans="1:68" s="86" customFormat="1">
      <c r="A202" s="86">
        <v>138</v>
      </c>
      <c r="B202" s="86">
        <f t="shared" si="103"/>
        <v>57543.993733715761</v>
      </c>
      <c r="C202" s="86" t="str">
        <f t="shared" si="104"/>
        <v>361559.575944117j</v>
      </c>
      <c r="D202" s="86">
        <f t="shared" si="105"/>
        <v>0.95923285669651059</v>
      </c>
      <c r="E202" s="86" t="str">
        <f t="shared" si="106"/>
        <v>-0.317157522757997j</v>
      </c>
      <c r="F202" s="86" t="str">
        <f t="shared" si="107"/>
        <v>0.959232856696511-0.317157522757997j</v>
      </c>
      <c r="G202" s="86">
        <f t="shared" si="108"/>
        <v>8.905164014006639E-2</v>
      </c>
      <c r="H202" s="86">
        <f t="shared" si="109"/>
        <v>-18.295777953545947</v>
      </c>
      <c r="J202" s="86">
        <f t="shared" si="110"/>
        <v>8.3707025411061284</v>
      </c>
      <c r="K202" s="86" t="str">
        <f t="shared" si="111"/>
        <v>1+15.5225273658008j</v>
      </c>
      <c r="L202" s="86">
        <f t="shared" si="112"/>
        <v>-14.268190597559094</v>
      </c>
      <c r="M202" s="86" t="str">
        <f t="shared" si="113"/>
        <v>1.06487131608594j</v>
      </c>
      <c r="N202" s="86" t="str">
        <f t="shared" si="114"/>
        <v>-14.2681905975591+1.06487131608594j</v>
      </c>
      <c r="O202" s="86" t="str">
        <f t="shared" si="115"/>
        <v>0.0110460942542314-1.0870870129481j</v>
      </c>
      <c r="P202" s="86" t="str">
        <f t="shared" si="116"/>
        <v>0.0924635692431926-9.09968202168813j</v>
      </c>
      <c r="R202" s="86">
        <f t="shared" si="117"/>
        <v>11.958146487294469</v>
      </c>
      <c r="S202" s="86" t="str">
        <f t="shared" si="118"/>
        <v>1+0.0271169681958088j</v>
      </c>
      <c r="T202" s="86" t="str">
        <f t="shared" si="119"/>
        <v>-14.2681905975591+1.06487131608594j</v>
      </c>
      <c r="U202" s="86" t="str">
        <f t="shared" si="120"/>
        <v>-0.069556699027333-0.00709171223497314j</v>
      </c>
      <c r="V202" s="86" t="str">
        <f t="shared" si="121"/>
        <v>-0.831769196141501-0.0848037337515473j</v>
      </c>
      <c r="X202" s="86" t="str">
        <f t="shared" si="122"/>
        <v>-0.115783237487496-0.362499626656526j</v>
      </c>
      <c r="Y202" s="86">
        <f t="shared" si="123"/>
        <v>-8.3919623589120977</v>
      </c>
      <c r="Z202" s="86">
        <f t="shared" si="124"/>
        <v>72.286395131607335</v>
      </c>
      <c r="AB202" s="86" t="str">
        <f t="shared" si="125"/>
        <v>-0.386824070038045-0.0394389760962194j</v>
      </c>
      <c r="AC202" s="86">
        <f t="shared" si="126"/>
        <v>-8.2048183350156254</v>
      </c>
      <c r="AD202" s="86">
        <f t="shared" si="127"/>
        <v>5.8215238312375845</v>
      </c>
      <c r="AF202" s="86" t="str">
        <f t="shared" si="128"/>
        <v>-0.358873707033288-0.191729639269571j</v>
      </c>
      <c r="AG202" s="86">
        <f t="shared" si="129"/>
        <v>-7.8106926143833419</v>
      </c>
      <c r="AH202" s="86">
        <f t="shared" si="130"/>
        <v>28.113530601942671</v>
      </c>
      <c r="AJ202" s="86" t="str">
        <f t="shared" si="131"/>
        <v>25097.3176822823-44781.0562826989j</v>
      </c>
      <c r="AK202" s="86" t="str">
        <f t="shared" si="132"/>
        <v>20000-0.000144623830377647j</v>
      </c>
      <c r="AL202" s="86" t="str">
        <f t="shared" si="146"/>
        <v>10000-61462.1315565899j</v>
      </c>
      <c r="AM202" s="86" t="str">
        <f t="shared" si="147"/>
        <v>951.163338629056-19181.182894125j</v>
      </c>
      <c r="AN202" s="86" t="str">
        <f t="shared" si="148"/>
        <v>10951.1633386291-19181.182894125j</v>
      </c>
      <c r="AO202" s="86" t="str">
        <f t="shared" si="149"/>
        <v>10662.5406187585-5786.64892948517j</v>
      </c>
      <c r="AP202" s="86" t="str">
        <f t="shared" si="150"/>
        <v>0.223303183040443+0.221737185478765j</v>
      </c>
      <c r="AQ202" s="86" t="str">
        <f t="shared" si="133"/>
        <v>1+11.06372302389j</v>
      </c>
      <c r="AR202" s="86">
        <f t="shared" si="134"/>
        <v>5.999804995119166E-8</v>
      </c>
      <c r="AS202" s="86" t="str">
        <f t="shared" si="135"/>
        <v>0.000434981479031089j</v>
      </c>
      <c r="AT202" s="86" t="str">
        <f t="shared" si="136"/>
        <v>5.99980499511917E-08+0.000434981479031089j</v>
      </c>
      <c r="AU202" s="86" t="str">
        <f t="shared" si="137"/>
        <v>3.81528683834941-0.344316016772268j</v>
      </c>
      <c r="AW202" s="86" t="str">
        <f t="shared" si="151"/>
        <v>1.05775631323847+0.504472046522953j</v>
      </c>
      <c r="AX202" s="86">
        <f t="shared" si="138"/>
        <v>1.3777821624011544</v>
      </c>
      <c r="AY202" s="86">
        <f t="shared" si="139"/>
        <v>-154.50228739020841</v>
      </c>
      <c r="AZ202" s="86" t="str">
        <f t="shared" si="140"/>
        <v>-0.389269741211313-0.236858756209868j</v>
      </c>
      <c r="BA202" s="86">
        <f t="shared" si="141"/>
        <v>-6.8270361726144611</v>
      </c>
      <c r="BB202" s="86">
        <f t="shared" si="142"/>
        <v>31.319236441029176</v>
      </c>
      <c r="BD202" s="86" t="str">
        <f t="shared" si="143"/>
        <v>-0.282878685768327-0.383844989802685j</v>
      </c>
      <c r="BE202" s="86">
        <f t="shared" si="144"/>
        <v>-6.4329104519821687</v>
      </c>
      <c r="BF202" s="86">
        <f t="shared" si="145"/>
        <v>53.611243211734163</v>
      </c>
      <c r="BH202" s="86">
        <f t="shared" si="152"/>
        <v>7.4329104519821687</v>
      </c>
      <c r="BI202" s="162">
        <f t="shared" si="153"/>
        <v>-53.611243211734163</v>
      </c>
      <c r="BJ202" s="88"/>
      <c r="BK202" s="88"/>
      <c r="BL202" s="88"/>
      <c r="BM202" s="88"/>
      <c r="BN202" s="42"/>
      <c r="BO202" s="42"/>
      <c r="BP202" s="42"/>
    </row>
    <row r="203" spans="1:68" s="86" customFormat="1">
      <c r="A203" s="86">
        <v>139</v>
      </c>
      <c r="B203" s="86">
        <f t="shared" si="103"/>
        <v>60255.95860743583</v>
      </c>
      <c r="C203" s="86" t="str">
        <f t="shared" si="104"/>
        <v>378599.353792262j</v>
      </c>
      <c r="D203" s="86">
        <f t="shared" si="105"/>
        <v>0.95529971624867949</v>
      </c>
      <c r="E203" s="86" t="str">
        <f t="shared" si="106"/>
        <v>-0.332104696309002j</v>
      </c>
      <c r="F203" s="86" t="str">
        <f t="shared" si="107"/>
        <v>0.955299716248679-0.332104696309002j</v>
      </c>
      <c r="G203" s="86">
        <f t="shared" si="108"/>
        <v>9.8293902124034965E-2</v>
      </c>
      <c r="H203" s="86">
        <f t="shared" si="109"/>
        <v>-19.169726434249569</v>
      </c>
      <c r="J203" s="86">
        <f t="shared" si="110"/>
        <v>8.3707025411061284</v>
      </c>
      <c r="K203" s="86" t="str">
        <f t="shared" si="111"/>
        <v>1+16.2540815426314j</v>
      </c>
      <c r="L203" s="86">
        <f t="shared" si="112"/>
        <v>-15.741238084781838</v>
      </c>
      <c r="M203" s="86" t="str">
        <f t="shared" si="113"/>
        <v>1.11505715507412j</v>
      </c>
      <c r="N203" s="86" t="str">
        <f t="shared" si="114"/>
        <v>-15.7412380847818+1.11505715507412j</v>
      </c>
      <c r="O203" s="86" t="str">
        <f t="shared" si="115"/>
        <v>0.00956909817629249-1.03190177060761j</v>
      </c>
      <c r="P203" s="86" t="str">
        <f t="shared" si="116"/>
        <v>0.0801000744203856-8.63774277339703j</v>
      </c>
      <c r="R203" s="86">
        <f t="shared" si="117"/>
        <v>11.958146487294469</v>
      </c>
      <c r="S203" s="86" t="str">
        <f t="shared" si="118"/>
        <v>1+0.0283949515344196j</v>
      </c>
      <c r="T203" s="86" t="str">
        <f t="shared" si="119"/>
        <v>-15.7412380847818+1.11505715507412j</v>
      </c>
      <c r="U203" s="86" t="str">
        <f t="shared" si="120"/>
        <v>-0.0630830846727623-0.00627245429686914j</v>
      </c>
      <c r="V203" s="86" t="str">
        <f t="shared" si="121"/>
        <v>-0.754356767387292-0.0750069273168208j</v>
      </c>
      <c r="X203" s="86" t="str">
        <f t="shared" si="122"/>
        <v>-0.115567048617682-0.342640272023931j</v>
      </c>
      <c r="Y203" s="86">
        <f t="shared" si="123"/>
        <v>-8.8353140281509752</v>
      </c>
      <c r="Z203" s="86">
        <f t="shared" si="124"/>
        <v>71.361577261345943</v>
      </c>
      <c r="AB203" s="86" t="str">
        <f t="shared" si="125"/>
        <v>-0.350822507463781-0.0348828557733755j</v>
      </c>
      <c r="AC203" s="86">
        <f t="shared" si="126"/>
        <v>-9.0555247214845345</v>
      </c>
      <c r="AD203" s="86">
        <f t="shared" si="127"/>
        <v>5.6783488778623905</v>
      </c>
      <c r="AF203" s="86" t="str">
        <f t="shared" si="128"/>
        <v>-0.331612667067359-0.1679117789447j</v>
      </c>
      <c r="AG203" s="86">
        <f t="shared" si="129"/>
        <v>-8.5961350581896809</v>
      </c>
      <c r="AH203" s="86">
        <f t="shared" si="130"/>
        <v>26.855333254492024</v>
      </c>
      <c r="AJ203" s="86" t="str">
        <f t="shared" si="131"/>
        <v>23380.7546362692-43684.3169735644j</v>
      </c>
      <c r="AK203" s="86" t="str">
        <f t="shared" si="132"/>
        <v>20000-0.000151439741516905j</v>
      </c>
      <c r="AL203" s="86" t="str">
        <f t="shared" si="146"/>
        <v>10000-58695.8799576176j</v>
      </c>
      <c r="AM203" s="86" t="str">
        <f t="shared" si="147"/>
        <v>950.023670403027-18327.5870602716j</v>
      </c>
      <c r="AN203" s="86" t="str">
        <f t="shared" si="148"/>
        <v>10950.023670403-18327.5870602716j</v>
      </c>
      <c r="AO203" s="86" t="str">
        <f t="shared" si="149"/>
        <v>10431.3129519278-5666.26206403501j</v>
      </c>
      <c r="AP203" s="86" t="str">
        <f t="shared" si="150"/>
        <v>0.228909540253079+0.230511361126812j</v>
      </c>
      <c r="AQ203" s="86" t="str">
        <f t="shared" si="133"/>
        <v>1+11.5851402260432j</v>
      </c>
      <c r="AR203" s="86">
        <f t="shared" si="134"/>
        <v>5.6138733968273089E-8</v>
      </c>
      <c r="AS203" s="86" t="str">
        <f t="shared" si="135"/>
        <v>0.000455481524566857j</v>
      </c>
      <c r="AT203" s="86" t="str">
        <f t="shared" si="136"/>
        <v>5.61387339682731E-08+0.000455481524566857j</v>
      </c>
      <c r="AU203" s="86" t="str">
        <f t="shared" si="137"/>
        <v>3.81527987742184-0.32885157122539j</v>
      </c>
      <c r="AW203" s="86" t="str">
        <f t="shared" si="151"/>
        <v>1.08874752850217+0.519028642520687j</v>
      </c>
      <c r="AX203" s="86">
        <f t="shared" si="138"/>
        <v>1.6279192217755369</v>
      </c>
      <c r="AY203" s="86">
        <f t="shared" si="139"/>
        <v>-154.51188909814442</v>
      </c>
      <c r="AZ203" s="86" t="str">
        <f t="shared" si="140"/>
        <v>-0.363851936664826-0.22006555282499j</v>
      </c>
      <c r="BA203" s="86">
        <f t="shared" si="141"/>
        <v>-7.4276054997089922</v>
      </c>
      <c r="BB203" s="86">
        <f t="shared" si="142"/>
        <v>31.16645977971794</v>
      </c>
      <c r="BD203" s="86" t="str">
        <f t="shared" si="143"/>
        <v>-0.273891449000699-0.354930006763081j</v>
      </c>
      <c r="BE203" s="86">
        <f t="shared" si="144"/>
        <v>-6.9682158364141333</v>
      </c>
      <c r="BF203" s="86">
        <f t="shared" si="145"/>
        <v>52.343444156347573</v>
      </c>
      <c r="BH203" s="86">
        <f t="shared" si="152"/>
        <v>7.9682158364141333</v>
      </c>
      <c r="BI203" s="162">
        <f t="shared" si="153"/>
        <v>-52.343444156347573</v>
      </c>
      <c r="BJ203" s="88"/>
      <c r="BK203" s="88"/>
      <c r="BL203" s="88"/>
      <c r="BM203" s="88"/>
      <c r="BN203" s="42"/>
      <c r="BO203" s="42"/>
      <c r="BP203" s="42"/>
    </row>
    <row r="204" spans="1:68" s="86" customFormat="1">
      <c r="A204" s="86">
        <v>140</v>
      </c>
      <c r="B204" s="86">
        <f t="shared" si="103"/>
        <v>63095.734448019379</v>
      </c>
      <c r="C204" s="86" t="str">
        <f t="shared" si="104"/>
        <v>396442.1916295j</v>
      </c>
      <c r="D204" s="86">
        <f t="shared" si="105"/>
        <v>0.95098711350526355</v>
      </c>
      <c r="E204" s="86" t="str">
        <f t="shared" si="106"/>
        <v>-0.34775630844693j</v>
      </c>
      <c r="F204" s="86" t="str">
        <f t="shared" si="107"/>
        <v>0.950987113505264-0.34775630844693j</v>
      </c>
      <c r="G204" s="86">
        <f t="shared" si="108"/>
        <v>0.1085559134193677</v>
      </c>
      <c r="H204" s="86">
        <f t="shared" si="109"/>
        <v>-20.086420335073303</v>
      </c>
      <c r="J204" s="86">
        <f t="shared" si="110"/>
        <v>8.3707025411061284</v>
      </c>
      <c r="K204" s="86" t="str">
        <f t="shared" si="111"/>
        <v>1+17.0201128056365j</v>
      </c>
      <c r="L204" s="86">
        <f t="shared" si="112"/>
        <v>-17.356402536405191</v>
      </c>
      <c r="M204" s="86" t="str">
        <f t="shared" si="113"/>
        <v>1.16760817978653j</v>
      </c>
      <c r="N204" s="86" t="str">
        <f t="shared" si="114"/>
        <v>-17.3564025364052+1.16760817978653j</v>
      </c>
      <c r="O204" s="86" t="str">
        <f t="shared" si="115"/>
        <v>0.00831577568261748-0.980065033767726j</v>
      </c>
      <c r="P204" s="86" t="str">
        <f t="shared" si="116"/>
        <v>0.0696088846377547-8.20383286860877j</v>
      </c>
      <c r="R204" s="86">
        <f t="shared" si="117"/>
        <v>11.958146487294469</v>
      </c>
      <c r="S204" s="86" t="str">
        <f t="shared" si="118"/>
        <v>1+0.0297331643722125j</v>
      </c>
      <c r="T204" s="86" t="str">
        <f t="shared" si="119"/>
        <v>-17.3564025364052+1.16760817978653j</v>
      </c>
      <c r="U204" s="86" t="str">
        <f t="shared" si="120"/>
        <v>-0.0572413314510152-0.00556386100136456j</v>
      </c>
      <c r="V204" s="86" t="str">
        <f t="shared" si="121"/>
        <v>-0.684500226619016-0.0665334648892623j</v>
      </c>
      <c r="X204" s="86" t="str">
        <f t="shared" si="122"/>
        <v>-0.115344455440118-0.323919822618694j</v>
      </c>
      <c r="Y204" s="86">
        <f t="shared" si="123"/>
        <v>-9.2727820652265986</v>
      </c>
      <c r="Z204" s="86">
        <f t="shared" si="124"/>
        <v>70.399718237393714</v>
      </c>
      <c r="AB204" s="86" t="str">
        <f t="shared" si="125"/>
        <v>-0.318334899670518-0.0309421721814034j</v>
      </c>
      <c r="AC204" s="86">
        <f t="shared" si="126"/>
        <v>-9.9014760413701488</v>
      </c>
      <c r="AD204" s="86">
        <f t="shared" si="127"/>
        <v>5.5517132671230911</v>
      </c>
      <c r="AF204" s="86" t="str">
        <f t="shared" si="128"/>
        <v>-0.306007739362956-0.147022358742472j</v>
      </c>
      <c r="AG204" s="86">
        <f t="shared" si="129"/>
        <v>-9.3833528677055948</v>
      </c>
      <c r="AH204" s="86">
        <f t="shared" si="130"/>
        <v>25.662100251101776</v>
      </c>
      <c r="AJ204" s="86" t="str">
        <f t="shared" si="131"/>
        <v>21749.639863736-42551.9136055015j</v>
      </c>
      <c r="AK204" s="86" t="str">
        <f t="shared" si="132"/>
        <v>20000-0.0001585768766518j</v>
      </c>
      <c r="AL204" s="86" t="str">
        <f t="shared" si="146"/>
        <v>10000-56054.1301895291j</v>
      </c>
      <c r="AM204" s="86" t="str">
        <f t="shared" si="147"/>
        <v>948.777183929661-17512.8410159051j</v>
      </c>
      <c r="AN204" s="86" t="str">
        <f t="shared" si="148"/>
        <v>10948.7771839297-17512.8410159051j</v>
      </c>
      <c r="AO204" s="86" t="str">
        <f t="shared" si="149"/>
        <v>10210.1602338896-5539.73123051951j</v>
      </c>
      <c r="AP204" s="86" t="str">
        <f t="shared" si="150"/>
        <v>0.234964494024788+0.239479640097942j</v>
      </c>
      <c r="AQ204" s="86" t="str">
        <f t="shared" si="133"/>
        <v>1+12.1311310638627j</v>
      </c>
      <c r="AR204" s="86">
        <f t="shared" si="134"/>
        <v>5.1907078140975692E-8</v>
      </c>
      <c r="AS204" s="86" t="str">
        <f t="shared" si="135"/>
        <v>0.000476947707483703j</v>
      </c>
      <c r="AT204" s="86" t="str">
        <f t="shared" si="136"/>
        <v>5.19070781409757E-08+0.000476947707483703j</v>
      </c>
      <c r="AU204" s="86" t="str">
        <f t="shared" si="137"/>
        <v>3.81527352840618-0.314084663681815j</v>
      </c>
      <c r="AW204" s="86" t="str">
        <f t="shared" si="151"/>
        <v>1.12174187012492+0.532298684051937j</v>
      </c>
      <c r="AX204" s="86">
        <f t="shared" si="138"/>
        <v>1.8798486106517647</v>
      </c>
      <c r="AY204" s="86">
        <f t="shared" si="139"/>
        <v>-154.61431948692365</v>
      </c>
      <c r="AZ204" s="86" t="str">
        <f t="shared" si="140"/>
        <v>-0.340619108148566-0.204158378270917j</v>
      </c>
      <c r="BA204" s="86">
        <f t="shared" si="141"/>
        <v>-8.0216274307183841</v>
      </c>
      <c r="BB204" s="86">
        <f t="shared" si="142"/>
        <v>30.937393780199471</v>
      </c>
      <c r="BD204" s="86" t="str">
        <f t="shared" si="143"/>
        <v>-0.265001885740872-0.327808652618567j</v>
      </c>
      <c r="BE204" s="86">
        <f t="shared" si="144"/>
        <v>-7.5035042570538266</v>
      </c>
      <c r="BF204" s="86">
        <f t="shared" si="145"/>
        <v>51.0477807641781</v>
      </c>
      <c r="BH204" s="86">
        <f t="shared" si="152"/>
        <v>8.5035042570538266</v>
      </c>
      <c r="BI204" s="162">
        <f t="shared" si="153"/>
        <v>-51.0477807641781</v>
      </c>
      <c r="BJ204" s="88"/>
      <c r="BK204" s="88"/>
      <c r="BL204" s="88"/>
      <c r="BM204" s="88"/>
      <c r="BN204" s="42"/>
      <c r="BO204" s="42"/>
      <c r="BP204" s="42"/>
    </row>
    <row r="205" spans="1:68" s="86" customFormat="1">
      <c r="A205" s="86">
        <v>141</v>
      </c>
      <c r="B205" s="86">
        <f t="shared" si="103"/>
        <v>66069.344800759645</v>
      </c>
      <c r="C205" s="86" t="str">
        <f t="shared" si="104"/>
        <v>415125.936507115j</v>
      </c>
      <c r="D205" s="86">
        <f t="shared" si="105"/>
        <v>0.94625843862848069</v>
      </c>
      <c r="E205" s="86" t="str">
        <f t="shared" si="106"/>
        <v>-0.364145558339575j</v>
      </c>
      <c r="F205" s="86" t="str">
        <f t="shared" si="107"/>
        <v>0.946258438628481-0.364145558339575j</v>
      </c>
      <c r="G205" s="86">
        <f t="shared" si="108"/>
        <v>0.11996080497709567</v>
      </c>
      <c r="H205" s="86">
        <f t="shared" si="109"/>
        <v>-21.04805994497281</v>
      </c>
      <c r="J205" s="86">
        <f t="shared" si="110"/>
        <v>8.3707025411061284</v>
      </c>
      <c r="K205" s="86" t="str">
        <f t="shared" si="111"/>
        <v>1+17.8222460098287j</v>
      </c>
      <c r="L205" s="86">
        <f t="shared" si="112"/>
        <v>-19.127395140795759</v>
      </c>
      <c r="M205" s="86" t="str">
        <f t="shared" si="113"/>
        <v>1.22263585799222j</v>
      </c>
      <c r="N205" s="86" t="str">
        <f t="shared" si="114"/>
        <v>-19.1273951407958+1.22263585799222j</v>
      </c>
      <c r="O205" s="86" t="str">
        <f t="shared" si="115"/>
        <v>0.00724841921886684-0.93130212982241j</v>
      </c>
      <c r="P205" s="86" t="str">
        <f t="shared" si="116"/>
        <v>0.0606743611743712-7.795653104642j</v>
      </c>
      <c r="R205" s="86">
        <f t="shared" si="117"/>
        <v>11.958146487294469</v>
      </c>
      <c r="S205" s="86" t="str">
        <f t="shared" si="118"/>
        <v>1+0.0311344452380336j</v>
      </c>
      <c r="T205" s="86" t="str">
        <f t="shared" si="119"/>
        <v>-19.1273951407958+1.22263585799222j</v>
      </c>
      <c r="U205" s="86" t="str">
        <f t="shared" si="120"/>
        <v>-0.0519646680085492-0.00494935724373854j</v>
      </c>
      <c r="V205" s="86" t="str">
        <f t="shared" si="121"/>
        <v>-0.621401112209856-0.0591851389385775j</v>
      </c>
      <c r="X205" s="86" t="str">
        <f t="shared" si="122"/>
        <v>-0.115121002411227-0.306239894313877j</v>
      </c>
      <c r="Y205" s="86">
        <f t="shared" si="123"/>
        <v>-9.7047127306003418</v>
      </c>
      <c r="Z205" s="86">
        <f t="shared" si="124"/>
        <v>69.397869931573823</v>
      </c>
      <c r="AB205" s="86" t="str">
        <f t="shared" si="125"/>
        <v>-0.28898991266598-0.0275247465717557j</v>
      </c>
      <c r="AC205" s="86">
        <f t="shared" si="126"/>
        <v>-10.74312672605366</v>
      </c>
      <c r="AD205" s="86">
        <f t="shared" si="127"/>
        <v>5.4407049001443681</v>
      </c>
      <c r="AF205" s="86" t="str">
        <f t="shared" si="128"/>
        <v>-0.282041174585188-0.128714780641473j</v>
      </c>
      <c r="AG205" s="86">
        <f t="shared" si="129"/>
        <v>-10.172100997930771</v>
      </c>
      <c r="AH205" s="86">
        <f t="shared" si="130"/>
        <v>24.530474609153714</v>
      </c>
      <c r="AJ205" s="86" t="str">
        <f t="shared" si="131"/>
        <v>20204.1486122327-41391.1582725013j</v>
      </c>
      <c r="AK205" s="86" t="str">
        <f t="shared" si="132"/>
        <v>20000-0.000166050374602846j</v>
      </c>
      <c r="AL205" s="86" t="str">
        <f t="shared" si="146"/>
        <v>10000-53531.2787468805j</v>
      </c>
      <c r="AM205" s="86" t="str">
        <f t="shared" si="147"/>
        <v>947.414192797452-16735.2129158045j</v>
      </c>
      <c r="AN205" s="86" t="str">
        <f t="shared" si="148"/>
        <v>10947.4141927975-16735.2129158045j</v>
      </c>
      <c r="AO205" s="86" t="str">
        <f t="shared" si="149"/>
        <v>9999.29894955062-5408.00793569906j</v>
      </c>
      <c r="AP205" s="86" t="str">
        <f t="shared" si="150"/>
        <v>0.241495255218812+0.248625292411456j</v>
      </c>
      <c r="AQ205" s="86" t="str">
        <f t="shared" si="133"/>
        <v>1+12.7028536571177j</v>
      </c>
      <c r="AR205" s="86">
        <f t="shared" si="134"/>
        <v>4.7267159792761842E-8</v>
      </c>
      <c r="AS205" s="86" t="str">
        <f t="shared" si="135"/>
        <v>0.000499425560433615j</v>
      </c>
      <c r="AT205" s="86" t="str">
        <f t="shared" si="136"/>
        <v>4.72671597927618E-08+0.000499425560433615j</v>
      </c>
      <c r="AU205" s="86" t="str">
        <f t="shared" si="137"/>
        <v>3.81526773740538-0.299983971585528j</v>
      </c>
      <c r="AW205" s="86" t="str">
        <f t="shared" si="151"/>
        <v>1.1567704902261+0.544056086861239j</v>
      </c>
      <c r="AX205" s="86">
        <f t="shared" si="138"/>
        <v>2.1328261458418147</v>
      </c>
      <c r="AY205" s="86">
        <f t="shared" si="139"/>
        <v>-154.81130628804209</v>
      </c>
      <c r="AZ205" s="86" t="str">
        <f t="shared" si="140"/>
        <v>-0.319319997033347-0.189066535612583j</v>
      </c>
      <c r="BA205" s="86">
        <f t="shared" si="141"/>
        <v>-8.6103005802118435</v>
      </c>
      <c r="BB205" s="86">
        <f t="shared" si="142"/>
        <v>30.629398612102278</v>
      </c>
      <c r="BD205" s="86" t="str">
        <f t="shared" si="143"/>
        <v>-0.256228847911851-0.302339677680547j</v>
      </c>
      <c r="BE205" s="86">
        <f t="shared" si="144"/>
        <v>-8.0392748520889405</v>
      </c>
      <c r="BF205" s="86">
        <f t="shared" si="145"/>
        <v>49.719168321111596</v>
      </c>
      <c r="BH205" s="86">
        <f t="shared" si="152"/>
        <v>9.0392748520889405</v>
      </c>
      <c r="BI205" s="162">
        <f t="shared" si="153"/>
        <v>-49.719168321111596</v>
      </c>
      <c r="BJ205" s="88"/>
      <c r="BK205" s="88"/>
      <c r="BL205" s="88"/>
      <c r="BM205" s="88"/>
      <c r="BN205" s="42"/>
      <c r="BO205" s="42"/>
      <c r="BP205" s="42"/>
    </row>
    <row r="206" spans="1:68" s="86" customFormat="1">
      <c r="A206" s="86">
        <v>142</v>
      </c>
      <c r="B206" s="86">
        <f t="shared" si="103"/>
        <v>69183.097091893665</v>
      </c>
      <c r="C206" s="86" t="str">
        <f t="shared" si="104"/>
        <v>434690.219152965j</v>
      </c>
      <c r="D206" s="86">
        <f t="shared" si="105"/>
        <v>0.94107354972943813</v>
      </c>
      <c r="E206" s="86" t="str">
        <f t="shared" si="106"/>
        <v>-0.381307209783303j</v>
      </c>
      <c r="F206" s="86" t="str">
        <f t="shared" si="107"/>
        <v>0.941073549729438-0.381307209783303j</v>
      </c>
      <c r="G206" s="86">
        <f t="shared" si="108"/>
        <v>0.13264821283329475</v>
      </c>
      <c r="H206" s="86">
        <f t="shared" si="109"/>
        <v>-22.056965294888464</v>
      </c>
      <c r="J206" s="86">
        <f t="shared" si="110"/>
        <v>8.3707025411061284</v>
      </c>
      <c r="K206" s="86" t="str">
        <f t="shared" si="111"/>
        <v>1+18.6621825872778j</v>
      </c>
      <c r="L206" s="86">
        <f t="shared" si="112"/>
        <v>-21.069249917040882</v>
      </c>
      <c r="M206" s="86" t="str">
        <f t="shared" si="113"/>
        <v>1.28025691077436j</v>
      </c>
      <c r="N206" s="86" t="str">
        <f t="shared" si="114"/>
        <v>-21.0692499170409+1.28025691077436j</v>
      </c>
      <c r="O206" s="86" t="str">
        <f t="shared" si="115"/>
        <v>0.00633626623575799-0.885369465552425j</v>
      </c>
      <c r="P206" s="86" t="str">
        <f t="shared" si="116"/>
        <v>0.0530389998807844-7.41116443511746j</v>
      </c>
      <c r="R206" s="86">
        <f t="shared" si="117"/>
        <v>11.958146487294469</v>
      </c>
      <c r="S206" s="86" t="str">
        <f t="shared" si="118"/>
        <v>1+0.0326017664364724j</v>
      </c>
      <c r="T206" s="86" t="str">
        <f t="shared" si="119"/>
        <v>-21.0692499170409+1.28025691077436j</v>
      </c>
      <c r="U206" s="86" t="str">
        <f t="shared" si="120"/>
        <v>-0.0471942551499247-0.00441508540205671j</v>
      </c>
      <c r="V206" s="86" t="str">
        <f t="shared" si="121"/>
        <v>-0.564355816441551-0.0527962379917095j</v>
      </c>
      <c r="X206" s="86" t="str">
        <f t="shared" si="122"/>
        <v>-0.114900722421515-0.28951308886492j</v>
      </c>
      <c r="Y206" s="86">
        <f t="shared" si="123"/>
        <v>-10.131387089527514</v>
      </c>
      <c r="Z206" s="86">
        <f t="shared" si="124"/>
        <v>68.353072694314392</v>
      </c>
      <c r="AB206" s="86" t="str">
        <f t="shared" si="125"/>
        <v>-0.262460325386258-0.0245535128703853j</v>
      </c>
      <c r="AC206" s="86">
        <f t="shared" si="126"/>
        <v>-11.580883292835862</v>
      </c>
      <c r="AD206" s="86">
        <f t="shared" si="127"/>
        <v>5.3445411335168842</v>
      </c>
      <c r="AF206" s="86" t="str">
        <f t="shared" si="128"/>
        <v>-0.259674886446478-0.112679779401705j</v>
      </c>
      <c r="AG206" s="86">
        <f t="shared" si="129"/>
        <v>-10.962168931387525</v>
      </c>
      <c r="AH206" s="86">
        <f t="shared" si="130"/>
        <v>23.457293128889518</v>
      </c>
      <c r="AJ206" s="86" t="str">
        <f t="shared" si="131"/>
        <v>18743.7513965104-40209.0248603396j</v>
      </c>
      <c r="AK206" s="86" t="str">
        <f t="shared" si="132"/>
        <v>20000-0.000173876087661186j</v>
      </c>
      <c r="AL206" s="86" t="str">
        <f t="shared" si="146"/>
        <v>10000-51121.9743235179j</v>
      </c>
      <c r="AM206" s="86" t="str">
        <f t="shared" si="147"/>
        <v>945.924196693479-15993.0491337561j</v>
      </c>
      <c r="AN206" s="86" t="str">
        <f t="shared" si="148"/>
        <v>10945.9241966935-15993.0491337561j</v>
      </c>
      <c r="AO206" s="86" t="str">
        <f t="shared" si="149"/>
        <v>9798.84153444986-5272.0231499067j</v>
      </c>
      <c r="AP206" s="86" t="str">
        <f t="shared" si="150"/>
        <v>0.248529125656412+0.257928396223253j</v>
      </c>
      <c r="AQ206" s="86" t="str">
        <f t="shared" si="133"/>
        <v>1+13.3015207060807j</v>
      </c>
      <c r="AR206" s="86">
        <f t="shared" si="134"/>
        <v>4.2179590492060583E-8</v>
      </c>
      <c r="AS206" s="86" t="str">
        <f t="shared" si="135"/>
        <v>0.000522962761956358j</v>
      </c>
      <c r="AT206" s="86" t="str">
        <f t="shared" si="136"/>
        <v>4.21795904920606E-08+0.000522962761956358j</v>
      </c>
      <c r="AU206" s="86" t="str">
        <f t="shared" si="137"/>
        <v>3.81526245525948-0.286519585508311j</v>
      </c>
      <c r="AW206" s="86" t="str">
        <f t="shared" si="151"/>
        <v>1.19384480413075+0.554054533253922j</v>
      </c>
      <c r="AX206" s="86">
        <f t="shared" si="138"/>
        <v>2.3860852474105694</v>
      </c>
      <c r="AY206" s="86">
        <f t="shared" si="139"/>
        <v>-155.10433458563438</v>
      </c>
      <c r="AZ206" s="86" t="str">
        <f t="shared" si="140"/>
        <v>-0.299732910639705-0.174730416843023j</v>
      </c>
      <c r="BA206" s="86">
        <f t="shared" si="141"/>
        <v>-9.1947980454252782</v>
      </c>
      <c r="BB206" s="86">
        <f t="shared" si="142"/>
        <v>30.240206547882536</v>
      </c>
      <c r="BD206" s="86" t="str">
        <f t="shared" si="143"/>
        <v>-0.247580771363803-0.278396217177194j</v>
      </c>
      <c r="BE206" s="86">
        <f t="shared" si="144"/>
        <v>-8.5760836839769521</v>
      </c>
      <c r="BF206" s="86">
        <f t="shared" si="145"/>
        <v>48.352958543255284</v>
      </c>
      <c r="BH206" s="86">
        <f t="shared" si="152"/>
        <v>9.5760836839769521</v>
      </c>
      <c r="BI206" s="162">
        <f t="shared" si="153"/>
        <v>-48.352958543255284</v>
      </c>
      <c r="BJ206" s="88"/>
      <c r="BK206" s="88"/>
      <c r="BL206" s="88"/>
      <c r="BM206" s="88"/>
      <c r="BN206" s="42"/>
      <c r="BO206" s="42"/>
      <c r="BP206" s="42"/>
    </row>
    <row r="207" spans="1:68" s="86" customFormat="1">
      <c r="A207" s="86">
        <v>143</v>
      </c>
      <c r="B207" s="86">
        <f t="shared" si="103"/>
        <v>72443.596007499029</v>
      </c>
      <c r="C207" s="86" t="str">
        <f t="shared" si="104"/>
        <v>455176.538033572j</v>
      </c>
      <c r="D207" s="86">
        <f t="shared" si="105"/>
        <v>0.93538843210221312</v>
      </c>
      <c r="E207" s="86" t="str">
        <f t="shared" si="106"/>
        <v>-0.39927766494173j</v>
      </c>
      <c r="F207" s="86" t="str">
        <f t="shared" si="107"/>
        <v>0.935388432102213-0.39927766494173j</v>
      </c>
      <c r="G207" s="86">
        <f t="shared" si="108"/>
        <v>0.14677668075491876</v>
      </c>
      <c r="H207" s="86">
        <f t="shared" si="109"/>
        <v>-23.115581290034307</v>
      </c>
      <c r="J207" s="86">
        <f t="shared" si="110"/>
        <v>8.3707025411061284</v>
      </c>
      <c r="K207" s="86" t="str">
        <f t="shared" si="111"/>
        <v>1+19.541704156077j</v>
      </c>
      <c r="L207" s="86">
        <f t="shared" si="112"/>
        <v>-23.198451339270157</v>
      </c>
      <c r="M207" s="86" t="str">
        <f t="shared" si="113"/>
        <v>1.34059356011128j</v>
      </c>
      <c r="N207" s="86" t="str">
        <f t="shared" si="114"/>
        <v>-23.1984513392702+1.34059356011128j</v>
      </c>
      <c r="O207" s="86" t="str">
        <f t="shared" si="115"/>
        <v>0.00555411839992601-0.842050103045046j</v>
      </c>
      <c r="P207" s="86" t="str">
        <f t="shared" si="116"/>
        <v>0.046491873003865-7.04855093729784j</v>
      </c>
      <c r="R207" s="86">
        <f t="shared" si="117"/>
        <v>11.958146487294469</v>
      </c>
      <c r="S207" s="86" t="str">
        <f t="shared" si="118"/>
        <v>1+0.0341382403525179j</v>
      </c>
      <c r="T207" s="86" t="str">
        <f t="shared" si="119"/>
        <v>-23.1984513392702+1.34059356011128j</v>
      </c>
      <c r="U207" s="86" t="str">
        <f t="shared" si="120"/>
        <v>-0.0428780966224798-0.00394941624397786j</v>
      </c>
      <c r="V207" s="86" t="str">
        <f t="shared" si="121"/>
        <v>-0.51274256050798-0.0472276979847876j</v>
      </c>
      <c r="X207" s="86" t="str">
        <f t="shared" si="122"/>
        <v>-0.114686492116769-0.273661405184727j</v>
      </c>
      <c r="Y207" s="86">
        <f t="shared" si="123"/>
        <v>-10.553024242033677</v>
      </c>
      <c r="Z207" s="86">
        <f t="shared" si="124"/>
        <v>67.262333191787818</v>
      </c>
      <c r="AB207" s="86" t="str">
        <f t="shared" si="125"/>
        <v>-0.238456972267681-0.0219637976950222j</v>
      </c>
      <c r="AC207" s="86">
        <f t="shared" si="126"/>
        <v>-12.415109861156242</v>
      </c>
      <c r="AD207" s="86">
        <f t="shared" si="127"/>
        <v>5.2625515793411921</v>
      </c>
      <c r="AF207" s="86" t="str">
        <f t="shared" si="128"/>
        <v>-0.238855903022905-0.0986423893629956j</v>
      </c>
      <c r="AG207" s="86">
        <f t="shared" si="129"/>
        <v>-11.753375652735729</v>
      </c>
      <c r="AH207" s="86">
        <f t="shared" si="130"/>
        <v>22.439580447060223</v>
      </c>
      <c r="AJ207" s="86" t="str">
        <f t="shared" si="131"/>
        <v>17367.2945157794-39012.0879389839j</v>
      </c>
      <c r="AK207" s="86" t="str">
        <f t="shared" si="132"/>
        <v>20000-0.000182070615213429j</v>
      </c>
      <c r="AL207" s="86" t="str">
        <f t="shared" si="146"/>
        <v>10000-48821.1064617378j</v>
      </c>
      <c r="AM207" s="86" t="str">
        <f t="shared" si="147"/>
        <v>944.295825854646-15284.7706861954j</v>
      </c>
      <c r="AN207" s="86" t="str">
        <f t="shared" si="148"/>
        <v>10944.2958258546-15284.7706861954j</v>
      </c>
      <c r="AO207" s="86" t="str">
        <f t="shared" si="149"/>
        <v>9608.8044850624-5132.67588114557j</v>
      </c>
      <c r="AP207" s="86" t="str">
        <f t="shared" si="150"/>
        <v>0.256093179349558+0.267365610151318j</v>
      </c>
      <c r="AQ207" s="86" t="str">
        <f t="shared" si="133"/>
        <v>1+13.9284020638273j</v>
      </c>
      <c r="AR207" s="86">
        <f t="shared" si="134"/>
        <v>3.6601181682474225E-8</v>
      </c>
      <c r="AS207" s="86" t="str">
        <f t="shared" si="135"/>
        <v>0.00054760923761205j</v>
      </c>
      <c r="AT207" s="86" t="str">
        <f t="shared" si="136"/>
        <v>3.66011816824742E-08+0.00054760923761205j</v>
      </c>
      <c r="AU207" s="86" t="str">
        <f t="shared" si="137"/>
        <v>3.81525763712814-0.273662945708424j</v>
      </c>
      <c r="AW207" s="86" t="str">
        <f t="shared" si="151"/>
        <v>1.232952459668+0.562028167722594j</v>
      </c>
      <c r="AX207" s="86">
        <f t="shared" si="138"/>
        <v>2.6388389578508735</v>
      </c>
      <c r="AY207" s="86">
        <f t="shared" si="139"/>
        <v>-155.49463781467304</v>
      </c>
      <c r="AZ207" s="86" t="str">
        <f t="shared" si="140"/>
        <v>-0.281661837507659-0.16109985359601j</v>
      </c>
      <c r="BA207" s="86">
        <f t="shared" si="141"/>
        <v>-9.7762709033053525</v>
      </c>
      <c r="BB207" s="86">
        <f t="shared" si="142"/>
        <v>29.767913764668094</v>
      </c>
      <c r="BD207" s="86" t="str">
        <f t="shared" si="143"/>
        <v>-0.239058171784849-0.255865122118323j</v>
      </c>
      <c r="BE207" s="86">
        <f t="shared" si="144"/>
        <v>-9.1145366948848512</v>
      </c>
      <c r="BF207" s="86">
        <f t="shared" si="145"/>
        <v>46.944942632387182</v>
      </c>
      <c r="BH207" s="86">
        <f t="shared" si="152"/>
        <v>10.114536694884851</v>
      </c>
      <c r="BI207" s="162">
        <f t="shared" si="153"/>
        <v>-46.944942632387182</v>
      </c>
      <c r="BJ207" s="88"/>
      <c r="BK207" s="88"/>
      <c r="BL207" s="88"/>
      <c r="BM207" s="88"/>
      <c r="BN207" s="42"/>
      <c r="BO207" s="42"/>
      <c r="BP207" s="42"/>
    </row>
    <row r="208" spans="1:68" s="86" customFormat="1">
      <c r="A208" s="86">
        <v>144</v>
      </c>
      <c r="B208" s="86">
        <f t="shared" si="103"/>
        <v>75857.757502918379</v>
      </c>
      <c r="C208" s="86" t="str">
        <f t="shared" si="104"/>
        <v>476628.347377929j</v>
      </c>
      <c r="D208" s="86">
        <f t="shared" si="105"/>
        <v>0.92915482458145182</v>
      </c>
      <c r="E208" s="86" t="str">
        <f t="shared" si="106"/>
        <v>-0.418095041559587j</v>
      </c>
      <c r="F208" s="86" t="str">
        <f t="shared" si="107"/>
        <v>0.929154824581452-0.418095041559587j</v>
      </c>
      <c r="G208" s="86">
        <f t="shared" si="108"/>
        <v>0.16252641713719668</v>
      </c>
      <c r="H208" s="86">
        <f t="shared" si="109"/>
        <v>-24.226482300358708</v>
      </c>
      <c r="J208" s="86">
        <f t="shared" si="110"/>
        <v>8.3707025411061284</v>
      </c>
      <c r="K208" s="86" t="str">
        <f t="shared" si="111"/>
        <v>1+20.4626762993932j</v>
      </c>
      <c r="L208" s="86">
        <f t="shared" si="112"/>
        <v>-25.533074273941555</v>
      </c>
      <c r="M208" s="86" t="str">
        <f t="shared" si="113"/>
        <v>1.40377378812571j</v>
      </c>
      <c r="N208" s="86" t="str">
        <f t="shared" si="114"/>
        <v>-25.5330742739416+1.40377378812571j</v>
      </c>
      <c r="O208" s="86" t="str">
        <f t="shared" si="115"/>
        <v>0.0048812556068434-0.801150065254612j</v>
      </c>
      <c r="P208" s="86" t="str">
        <f t="shared" si="116"/>
        <v>0.0408595387119926-6.70618888703412j</v>
      </c>
      <c r="R208" s="86">
        <f t="shared" si="117"/>
        <v>11.958146487294469</v>
      </c>
      <c r="S208" s="86" t="str">
        <f t="shared" si="118"/>
        <v>1+0.0357471260533447j</v>
      </c>
      <c r="T208" s="86" t="str">
        <f t="shared" si="119"/>
        <v>-25.5330742739416+1.40377378812571j</v>
      </c>
      <c r="U208" s="86" t="str">
        <f t="shared" si="120"/>
        <v>-0.0389701232633105-0.00354255671056114j</v>
      </c>
      <c r="V208" s="86" t="str">
        <f t="shared" si="121"/>
        <v>-0.466010442610589-0.0423624120844381j</v>
      </c>
      <c r="X208" s="86" t="str">
        <f t="shared" si="122"/>
        <v>-0.114480304709082-0.258614913752161j</v>
      </c>
      <c r="Y208" s="86">
        <f t="shared" si="123"/>
        <v>-10.969783449499511</v>
      </c>
      <c r="Z208" s="86">
        <f t="shared" si="124"/>
        <v>66.122605712572309</v>
      </c>
      <c r="AB208" s="86" t="str">
        <f t="shared" si="125"/>
        <v>-0.216723649934485-0.0197011391322834j</v>
      </c>
      <c r="AC208" s="86">
        <f t="shared" si="126"/>
        <v>-13.246132924712983</v>
      </c>
      <c r="AD208" s="86">
        <f t="shared" si="127"/>
        <v>5.1941638540680515</v>
      </c>
      <c r="AF208" s="86" t="str">
        <f t="shared" si="128"/>
        <v>-0.219520761387306-0.0863588718714458j</v>
      </c>
      <c r="AG208" s="86">
        <f t="shared" si="129"/>
        <v>-12.545565315261353</v>
      </c>
      <c r="AH208" s="86">
        <f t="shared" si="130"/>
        <v>21.474541558860864</v>
      </c>
      <c r="AJ208" s="86" t="str">
        <f t="shared" si="131"/>
        <v>16073.0829359975-37806.477133056j</v>
      </c>
      <c r="AK208" s="86" t="str">
        <f t="shared" si="132"/>
        <v>20000-0.000190651338951172j</v>
      </c>
      <c r="AL208" s="86" t="str">
        <f t="shared" si="146"/>
        <v>10000-46623.7947123228j</v>
      </c>
      <c r="AM208" s="86" t="str">
        <f t="shared" si="147"/>
        <v>942.516784373787-14608.8698057488j</v>
      </c>
      <c r="AN208" s="86" t="str">
        <f t="shared" si="148"/>
        <v>10942.5167843738-14608.8698057488j</v>
      </c>
      <c r="AO208" s="86" t="str">
        <f t="shared" si="149"/>
        <v>9429.11753102217-4990.82369691688j</v>
      </c>
      <c r="AP208" s="86" t="str">
        <f t="shared" si="150"/>
        <v>0.264213889974789+0.276909968216799j</v>
      </c>
      <c r="AQ208" s="86" t="str">
        <f t="shared" si="133"/>
        <v>1+14.5848274297646j</v>
      </c>
      <c r="AR208" s="86">
        <f t="shared" si="134"/>
        <v>3.0484578053589898E-8</v>
      </c>
      <c r="AS208" s="86" t="str">
        <f t="shared" si="135"/>
        <v>0.000573417265879965j</v>
      </c>
      <c r="AT208" s="86" t="str">
        <f t="shared" si="136"/>
        <v>3.04845780535899E-08+0.000573417265879965j</v>
      </c>
      <c r="AU208" s="86" t="str">
        <f t="shared" si="137"/>
        <v>3.81525324211008-0.261386781552061j</v>
      </c>
      <c r="AW208" s="86" t="str">
        <f t="shared" si="151"/>
        <v>1.27405301788475+0.567692936148069j</v>
      </c>
      <c r="AX208" s="86">
        <f t="shared" si="138"/>
        <v>2.8902819074456296</v>
      </c>
      <c r="AY208" s="86">
        <f t="shared" si="139"/>
        <v>-155.98318862908241</v>
      </c>
      <c r="AZ208" s="86" t="str">
        <f t="shared" si="140"/>
        <v>-0.264933222726562-0.148132780931287j</v>
      </c>
      <c r="BA208" s="86">
        <f t="shared" si="141"/>
        <v>-10.355851017267332</v>
      </c>
      <c r="BB208" s="86">
        <f t="shared" si="142"/>
        <v>29.21097522498556</v>
      </c>
      <c r="BD208" s="86" t="str">
        <f t="shared" si="143"/>
        <v>-0.23065576699872-0.234646166906357j</v>
      </c>
      <c r="BE208" s="86">
        <f t="shared" si="144"/>
        <v>-9.6552834078157179</v>
      </c>
      <c r="BF208" s="86">
        <f t="shared" si="145"/>
        <v>45.491352929778316</v>
      </c>
      <c r="BH208" s="86">
        <f t="shared" si="152"/>
        <v>10.655283407815718</v>
      </c>
      <c r="BI208" s="162">
        <f t="shared" si="153"/>
        <v>-45.491352929778316</v>
      </c>
      <c r="BJ208" s="88"/>
      <c r="BK208" s="88"/>
      <c r="BL208" s="88"/>
      <c r="BM208" s="88"/>
      <c r="BN208" s="42"/>
      <c r="BO208" s="42"/>
      <c r="BP208" s="42"/>
    </row>
    <row r="209" spans="1:68" s="86" customFormat="1">
      <c r="A209" s="86">
        <v>145</v>
      </c>
      <c r="B209" s="86">
        <f t="shared" si="103"/>
        <v>79432.823472428208</v>
      </c>
      <c r="C209" s="86" t="str">
        <f t="shared" si="104"/>
        <v>499091.149349751j</v>
      </c>
      <c r="D209" s="86">
        <f t="shared" si="105"/>
        <v>0.92231980985162276</v>
      </c>
      <c r="E209" s="86" t="str">
        <f t="shared" si="106"/>
        <v>-0.437799253815571j</v>
      </c>
      <c r="F209" s="86" t="str">
        <f t="shared" si="107"/>
        <v>0.922319809851623-0.437799253815571j</v>
      </c>
      <c r="G209" s="86">
        <f t="shared" si="108"/>
        <v>0.18010245146290316</v>
      </c>
      <c r="H209" s="86">
        <f t="shared" si="109"/>
        <v>-25.392375903211015</v>
      </c>
      <c r="J209" s="86">
        <f t="shared" si="110"/>
        <v>8.3707025411061284</v>
      </c>
      <c r="K209" s="86" t="str">
        <f t="shared" si="111"/>
        <v>1+21.4270525226191j</v>
      </c>
      <c r="L209" s="86">
        <f t="shared" si="112"/>
        <v>-28.092937418024551</v>
      </c>
      <c r="M209" s="86" t="str">
        <f t="shared" si="113"/>
        <v>1.46993160855199j</v>
      </c>
      <c r="N209" s="86" t="str">
        <f t="shared" si="114"/>
        <v>-28.0929374180246+1.46993160855199j</v>
      </c>
      <c r="O209" s="86" t="str">
        <f t="shared" si="115"/>
        <v>0.00430057733364313-0.76249523676786j</v>
      </c>
      <c r="P209" s="86" t="str">
        <f t="shared" si="116"/>
        <v>0.03599885361495-6.38262081599404j</v>
      </c>
      <c r="R209" s="86">
        <f t="shared" si="117"/>
        <v>11.958146487294469</v>
      </c>
      <c r="S209" s="86" t="str">
        <f t="shared" si="118"/>
        <v>1+0.0374318362012313j</v>
      </c>
      <c r="T209" s="86" t="str">
        <f t="shared" si="119"/>
        <v>-28.0929374180246+1.46993160855199j</v>
      </c>
      <c r="U209" s="86" t="str">
        <f t="shared" si="120"/>
        <v>-0.0354294191385542-0.00318623353384892j</v>
      </c>
      <c r="V209" s="86" t="str">
        <f t="shared" si="121"/>
        <v>-0.423670184018585-0.0381014473404953j</v>
      </c>
      <c r="X209" s="86" t="str">
        <f t="shared" si="122"/>
        <v>-0.114283480091761-0.244310645276581j</v>
      </c>
      <c r="Y209" s="86">
        <f t="shared" si="123"/>
        <v>-11.381765227942772</v>
      </c>
      <c r="Z209" s="86">
        <f t="shared" si="124"/>
        <v>64.930776696370231</v>
      </c>
      <c r="AB209" s="86" t="str">
        <f t="shared" si="125"/>
        <v>-0.197032813545017-0.017719527247416j</v>
      </c>
      <c r="AC209" s="86">
        <f t="shared" si="126"/>
        <v>-14.074245494052507</v>
      </c>
      <c r="AD209" s="86">
        <f t="shared" si="127"/>
        <v>5.138891724392181</v>
      </c>
      <c r="AF209" s="86" t="str">
        <f t="shared" si="128"/>
        <v>-0.201599016166709-0.0756137110112466j</v>
      </c>
      <c r="AG209" s="86">
        <f t="shared" si="129"/>
        <v>-13.338603516088776</v>
      </c>
      <c r="AH209" s="86">
        <f t="shared" si="130"/>
        <v>20.559553404191888</v>
      </c>
      <c r="AJ209" s="86" t="str">
        <f t="shared" si="131"/>
        <v>14858.9629403328-36597.8459621978j</v>
      </c>
      <c r="AK209" s="86" t="str">
        <f t="shared" si="132"/>
        <v>20000-0.0001996364597399j</v>
      </c>
      <c r="AL209" s="86" t="str">
        <f t="shared" si="146"/>
        <v>10000-44525.3782824536j</v>
      </c>
      <c r="AM209" s="86" t="str">
        <f t="shared" si="147"/>
        <v>940.573792973721-13963.9066565701j</v>
      </c>
      <c r="AN209" s="86" t="str">
        <f t="shared" si="148"/>
        <v>10940.5737929737-13963.9066565701j</v>
      </c>
      <c r="AO209" s="86" t="str">
        <f t="shared" si="149"/>
        <v>9259.63346450548-4847.27520239555j</v>
      </c>
      <c r="AP209" s="86" t="str">
        <f t="shared" si="150"/>
        <v>0.272916703176966+0.286530707621039j</v>
      </c>
      <c r="AQ209" s="86" t="str">
        <f t="shared" si="133"/>
        <v>1+15.2721891701024j</v>
      </c>
      <c r="AR209" s="86">
        <f t="shared" si="134"/>
        <v>2.3777855540067962E-8</v>
      </c>
      <c r="AS209" s="86" t="str">
        <f t="shared" si="135"/>
        <v>0.000600441589048205j</v>
      </c>
      <c r="AT209" s="86" t="str">
        <f t="shared" si="136"/>
        <v>2.3777855540068E-08+0.000600441589048205j</v>
      </c>
      <c r="AU209" s="86" t="str">
        <f t="shared" si="137"/>
        <v>3.81524923289586-0.249665053669119j</v>
      </c>
      <c r="AW209" s="86" t="str">
        <f t="shared" si="151"/>
        <v>1.31707342239817+0.570748685766058j</v>
      </c>
      <c r="AX209" s="86">
        <f t="shared" si="138"/>
        <v>3.1395922672193599</v>
      </c>
      <c r="AY209" s="86">
        <f t="shared" si="139"/>
        <v>-156.57068935286415</v>
      </c>
      <c r="AZ209" s="86" t="str">
        <f t="shared" si="140"/>
        <v>-0.249393285171617-0.135794137778639j</v>
      </c>
      <c r="BA209" s="86">
        <f t="shared" si="141"/>
        <v>-10.934653226833159</v>
      </c>
      <c r="BB209" s="86">
        <f t="shared" si="142"/>
        <v>28.568202371528088</v>
      </c>
      <c r="BD209" s="86" t="str">
        <f t="shared" si="143"/>
        <v>-0.222364279989228-0.214651182670688j</v>
      </c>
      <c r="BE209" s="86">
        <f t="shared" si="144"/>
        <v>-10.199011248869416</v>
      </c>
      <c r="BF209" s="86">
        <f t="shared" si="145"/>
        <v>43.98886405132771</v>
      </c>
      <c r="BH209" s="86">
        <f t="shared" si="152"/>
        <v>11.199011248869416</v>
      </c>
      <c r="BI209" s="162">
        <f t="shared" si="153"/>
        <v>-43.98886405132771</v>
      </c>
      <c r="BJ209" s="88"/>
      <c r="BK209" s="88"/>
      <c r="BL209" s="88"/>
      <c r="BM209" s="88"/>
      <c r="BN209" s="42"/>
      <c r="BO209" s="42"/>
      <c r="BP209" s="42"/>
    </row>
    <row r="210" spans="1:68" s="86" customFormat="1">
      <c r="A210" s="86">
        <v>146</v>
      </c>
      <c r="B210" s="86">
        <f t="shared" si="103"/>
        <v>83176.377110267145</v>
      </c>
      <c r="C210" s="86" t="str">
        <f t="shared" si="104"/>
        <v>522612.590563659j</v>
      </c>
      <c r="D210" s="86">
        <f t="shared" si="105"/>
        <v>0.91482536523004765</v>
      </c>
      <c r="E210" s="86" t="str">
        <f t="shared" si="106"/>
        <v>-0.458432096985666j</v>
      </c>
      <c r="F210" s="86" t="str">
        <f t="shared" si="107"/>
        <v>0.914825365230048-0.458432096985666j</v>
      </c>
      <c r="G210" s="86">
        <f t="shared" si="108"/>
        <v>0.19973823785722197</v>
      </c>
      <c r="H210" s="86">
        <f t="shared" si="109"/>
        <v>-26.616105382680662</v>
      </c>
      <c r="J210" s="86">
        <f t="shared" si="110"/>
        <v>8.3707025411061284</v>
      </c>
      <c r="K210" s="86" t="str">
        <f t="shared" si="111"/>
        <v>1+22.4368783970205j</v>
      </c>
      <c r="L210" s="86">
        <f t="shared" si="112"/>
        <v>-30.899771540622176</v>
      </c>
      <c r="M210" s="86" t="str">
        <f t="shared" si="113"/>
        <v>1.53920735099717j</v>
      </c>
      <c r="N210" s="86" t="str">
        <f t="shared" si="114"/>
        <v>-30.8997715406222+1.53920735099717j</v>
      </c>
      <c r="O210" s="86" t="str">
        <f t="shared" si="115"/>
        <v>0.00379792038735642-0.725928752597829j</v>
      </c>
      <c r="P210" s="86" t="str">
        <f t="shared" si="116"/>
        <v>0.0317912618373632-6.07653365403265j</v>
      </c>
      <c r="R210" s="86">
        <f t="shared" si="117"/>
        <v>11.958146487294469</v>
      </c>
      <c r="S210" s="86" t="str">
        <f t="shared" si="118"/>
        <v>1+0.0391959442922744j</v>
      </c>
      <c r="T210" s="86" t="str">
        <f t="shared" si="119"/>
        <v>-30.8997715406222+1.53920735099717j</v>
      </c>
      <c r="U210" s="86" t="str">
        <f t="shared" si="120"/>
        <v>-0.0322195645986999-0.00287343661592436j</v>
      </c>
      <c r="V210" s="86" t="str">
        <f t="shared" si="121"/>
        <v>-0.3852862732281-0.0343609759751792j</v>
      </c>
      <c r="X210" s="86" t="str">
        <f t="shared" si="122"/>
        <v>-0.114096827065004-0.230691654729234j</v>
      </c>
      <c r="Y210" s="86">
        <f t="shared" si="123"/>
        <v>-11.78901145561214</v>
      </c>
      <c r="Z210" s="86">
        <f t="shared" si="124"/>
        <v>63.683652441985629</v>
      </c>
      <c r="AB210" s="86" t="str">
        <f t="shared" si="125"/>
        <v>-0.179181923340342-0.0159799769441535j</v>
      </c>
      <c r="AC210" s="86">
        <f t="shared" si="126"/>
        <v>-14.899710703967719</v>
      </c>
      <c r="AD210" s="86">
        <f t="shared" si="127"/>
        <v>5.0963252132113439</v>
      </c>
      <c r="AF210" s="86" t="str">
        <f t="shared" si="128"/>
        <v>-0.185016012173538-0.0662167477620892j</v>
      </c>
      <c r="AG210" s="86">
        <f t="shared" si="129"/>
        <v>-14.132374102455422</v>
      </c>
      <c r="AH210" s="86">
        <f t="shared" si="130"/>
        <v>19.692155964599635</v>
      </c>
      <c r="AJ210" s="86" t="str">
        <f t="shared" si="131"/>
        <v>13722.4023935182-35391.3538010314j</v>
      </c>
      <c r="AK210" s="86" t="str">
        <f t="shared" si="132"/>
        <v>20000-0.000209045036225464j</v>
      </c>
      <c r="AL210" s="86" t="str">
        <f t="shared" si="146"/>
        <v>10000-42521.406149543j</v>
      </c>
      <c r="AM210" s="86" t="str">
        <f t="shared" si="147"/>
        <v>938.452532029939-13348.5061836501j</v>
      </c>
      <c r="AN210" s="86" t="str">
        <f t="shared" si="148"/>
        <v>10938.4525320299-13348.5061836501j</v>
      </c>
      <c r="AO210" s="86" t="str">
        <f t="shared" si="149"/>
        <v>9100.13826032387-4702.78440935786j</v>
      </c>
      <c r="AP210" s="86" t="str">
        <f t="shared" si="150"/>
        <v>0.282225553967817+0.296193140855225j</v>
      </c>
      <c r="AQ210" s="86" t="str">
        <f t="shared" si="133"/>
        <v>1+15.991945271248j</v>
      </c>
      <c r="AR210" s="86">
        <f t="shared" si="134"/>
        <v>1.6424080536408351E-8</v>
      </c>
      <c r="AS210" s="86" t="str">
        <f t="shared" si="135"/>
        <v>0.000628739529329421j</v>
      </c>
      <c r="AT210" s="86" t="str">
        <f t="shared" si="136"/>
        <v>1.64240805364084E-08+0.000628739529329421j</v>
      </c>
      <c r="AU210" s="86" t="str">
        <f t="shared" si="137"/>
        <v>3.81524557545112-0.238472898720583j</v>
      </c>
      <c r="AW210" s="86" t="str">
        <f t="shared" si="151"/>
        <v>1.36190336635561+0.570882141800896j</v>
      </c>
      <c r="AX210" s="86">
        <f t="shared" si="138"/>
        <v>3.3859337422627052</v>
      </c>
      <c r="AY210" s="86">
        <f t="shared" si="139"/>
        <v>-157.25756180914661</v>
      </c>
      <c r="AZ210" s="86" t="str">
        <f t="shared" si="140"/>
        <v>-0.234905781123477-0.124054944563066j</v>
      </c>
      <c r="BA210" s="86">
        <f t="shared" si="141"/>
        <v>-11.513776961705027</v>
      </c>
      <c r="BB210" s="86">
        <f t="shared" si="142"/>
        <v>27.838763404064764</v>
      </c>
      <c r="BD210" s="86" t="str">
        <f t="shared" si="143"/>
        <v>-0.214171971023321-0.1958031489834j</v>
      </c>
      <c r="BE210" s="86">
        <f t="shared" si="144"/>
        <v>-10.746440360192704</v>
      </c>
      <c r="BF210" s="86">
        <f t="shared" si="145"/>
        <v>42.434594155453055</v>
      </c>
      <c r="BH210" s="86">
        <f t="shared" si="152"/>
        <v>11.746440360192704</v>
      </c>
      <c r="BI210" s="162">
        <f t="shared" si="153"/>
        <v>-42.434594155453055</v>
      </c>
      <c r="BJ210" s="88"/>
      <c r="BK210" s="88"/>
      <c r="BL210" s="88"/>
      <c r="BM210" s="88"/>
      <c r="BN210" s="42"/>
      <c r="BO210" s="42"/>
      <c r="BP210" s="42"/>
    </row>
    <row r="211" spans="1:68" s="86" customFormat="1">
      <c r="A211" s="86">
        <v>147</v>
      </c>
      <c r="B211" s="86">
        <f t="shared" si="103"/>
        <v>87096.358995608098</v>
      </c>
      <c r="C211" s="86" t="str">
        <f t="shared" si="104"/>
        <v>547242.563150043j</v>
      </c>
      <c r="D211" s="86">
        <f t="shared" si="105"/>
        <v>0.90660787011028821</v>
      </c>
      <c r="E211" s="86" t="str">
        <f t="shared" si="106"/>
        <v>-0.480037336096529j</v>
      </c>
      <c r="F211" s="86" t="str">
        <f t="shared" si="107"/>
        <v>0.906607870110288-0.480037336096529j</v>
      </c>
      <c r="G211" s="86">
        <f t="shared" si="108"/>
        <v>0.22169975392472421</v>
      </c>
      <c r="H211" s="86">
        <f t="shared" si="109"/>
        <v>-27.900650480568178</v>
      </c>
      <c r="J211" s="86">
        <f t="shared" si="110"/>
        <v>8.3707025411061284</v>
      </c>
      <c r="K211" s="86" t="str">
        <f t="shared" si="111"/>
        <v>1+23.4942958986667j</v>
      </c>
      <c r="L211" s="86">
        <f t="shared" si="112"/>
        <v>-33.977403956241034</v>
      </c>
      <c r="M211" s="86" t="str">
        <f t="shared" si="113"/>
        <v>1.61174795859893j</v>
      </c>
      <c r="N211" s="86" t="str">
        <f t="shared" si="114"/>
        <v>-33.977403956241+1.61174795859893j</v>
      </c>
      <c r="O211" s="86" t="str">
        <f t="shared" si="115"/>
        <v>0.00336151430808145-0.691308789073286j</v>
      </c>
      <c r="P211" s="86" t="str">
        <f t="shared" si="116"/>
        <v>0.028138236360622-5.78674023738476j</v>
      </c>
      <c r="R211" s="86">
        <f t="shared" si="117"/>
        <v>11.958146487294469</v>
      </c>
      <c r="S211" s="86" t="str">
        <f t="shared" si="118"/>
        <v>1+0.0410431922362532j</v>
      </c>
      <c r="T211" s="86" t="str">
        <f t="shared" si="119"/>
        <v>-33.977403956241+1.61174795859893j</v>
      </c>
      <c r="U211" s="86" t="str">
        <f t="shared" si="120"/>
        <v>-0.0293080760948035-0.00259820980338021j</v>
      </c>
      <c r="V211" s="86" t="str">
        <f t="shared" si="121"/>
        <v>-0.350470267202433-0.0310697734335451j</v>
      </c>
      <c r="X211" s="86" t="str">
        <f t="shared" si="122"/>
        <v>-0.113920768810216-0.217706229617003j</v>
      </c>
      <c r="Y211" s="86">
        <f t="shared" si="123"/>
        <v>-12.191504525553388</v>
      </c>
      <c r="Z211" s="86">
        <f t="shared" si="124"/>
        <v>62.377950150185157</v>
      </c>
      <c r="AB211" s="86" t="str">
        <f t="shared" si="125"/>
        <v>-0.162990329307053-0.014449364403583j</v>
      </c>
      <c r="AC211" s="86">
        <f t="shared" si="126"/>
        <v>-15.722764963759415</v>
      </c>
      <c r="AD211" s="86">
        <f t="shared" si="127"/>
        <v>5.0661223172795928</v>
      </c>
      <c r="AF211" s="86" t="str">
        <f t="shared" si="128"/>
        <v>-0.1696950508591-0.058000495104456j</v>
      </c>
      <c r="AG211" s="86">
        <f t="shared" si="129"/>
        <v>-14.926776438148133</v>
      </c>
      <c r="AH211" s="86">
        <f t="shared" si="130"/>
        <v>18.870043199059495</v>
      </c>
      <c r="AJ211" s="86" t="str">
        <f t="shared" si="131"/>
        <v>12660.5669201016-34191.6593904463j</v>
      </c>
      <c r="AK211" s="86" t="str">
        <f t="shared" si="132"/>
        <v>20000-0.000218897025260018j</v>
      </c>
      <c r="AL211" s="86" t="str">
        <f t="shared" si="146"/>
        <v>10000-40607.6276200201j</v>
      </c>
      <c r="AM211" s="86" t="str">
        <f t="shared" si="147"/>
        <v>936.137585818714-12761.3550885345j</v>
      </c>
      <c r="AN211" s="86" t="str">
        <f t="shared" si="148"/>
        <v>10936.1375858187-12761.3550885345j</v>
      </c>
      <c r="AO211" s="86" t="str">
        <f t="shared" si="149"/>
        <v>8950.36116895793-4558.04687209262j</v>
      </c>
      <c r="AP211" s="86" t="str">
        <f t="shared" si="150"/>
        <v>0.292162331606128+0.305858584711325j</v>
      </c>
      <c r="AQ211" s="86" t="str">
        <f t="shared" si="133"/>
        <v>1+16.7456224323913j</v>
      </c>
      <c r="AR211" s="86">
        <f t="shared" si="134"/>
        <v>8.3608265855531307E-9</v>
      </c>
      <c r="AS211" s="86" t="str">
        <f t="shared" si="135"/>
        <v>0.000658371110448922j</v>
      </c>
      <c r="AT211" s="86" t="str">
        <f t="shared" si="136"/>
        <v>8.36082658555313E-09+0.000658371110448922j</v>
      </c>
      <c r="AU211" s="86" t="str">
        <f t="shared" si="137"/>
        <v>3.81524223872766-0.227786576660391j</v>
      </c>
      <c r="AW211" s="86" t="str">
        <f t="shared" si="151"/>
        <v>1.40839070143763+0.567770868199571j</v>
      </c>
      <c r="AX211" s="86">
        <f t="shared" si="138"/>
        <v>3.6284576667239827</v>
      </c>
      <c r="AY211" s="86">
        <f t="shared" si="139"/>
        <v>-158.04393641886909</v>
      </c>
      <c r="AZ211" s="86" t="str">
        <f t="shared" si="140"/>
        <v>-0.221350136047957-0.11289151124649j</v>
      </c>
      <c r="BA211" s="86">
        <f t="shared" si="141"/>
        <v>-12.094307297035405</v>
      </c>
      <c r="BB211" s="86">
        <f t="shared" si="142"/>
        <v>27.022185898410498</v>
      </c>
      <c r="BD211" s="86" t="str">
        <f t="shared" si="143"/>
        <v>-0.20606594024848-0.178035264339337j</v>
      </c>
      <c r="BE211" s="86">
        <f t="shared" si="144"/>
        <v>-11.298318771424135</v>
      </c>
      <c r="BF211" s="86">
        <f t="shared" si="145"/>
        <v>40.826106780190571</v>
      </c>
      <c r="BH211" s="86">
        <f t="shared" si="152"/>
        <v>12.298318771424135</v>
      </c>
      <c r="BI211" s="162">
        <f t="shared" si="153"/>
        <v>-40.826106780190571</v>
      </c>
      <c r="BJ211" s="88"/>
      <c r="BK211" s="88"/>
      <c r="BL211" s="88"/>
      <c r="BM211" s="88"/>
      <c r="BN211" s="42"/>
      <c r="BO211" s="42"/>
      <c r="BP211" s="42"/>
    </row>
    <row r="212" spans="1:68" s="86" customFormat="1">
      <c r="A212" s="86">
        <v>148</v>
      </c>
      <c r="B212" s="86">
        <f t="shared" si="103"/>
        <v>91201.083935590985</v>
      </c>
      <c r="C212" s="86" t="str">
        <f t="shared" si="104"/>
        <v>573033.310582957j</v>
      </c>
      <c r="D212" s="86">
        <f t="shared" si="105"/>
        <v>0.89759756588455886</v>
      </c>
      <c r="E212" s="86" t="str">
        <f t="shared" si="106"/>
        <v>-0.50266079875698j</v>
      </c>
      <c r="F212" s="86" t="str">
        <f t="shared" si="107"/>
        <v>0.897597565884559-0.50266079875698j</v>
      </c>
      <c r="G212" s="86">
        <f t="shared" si="108"/>
        <v>0.24629014125725757</v>
      </c>
      <c r="H212" s="86">
        <f t="shared" si="109"/>
        <v>-29.249125761849402</v>
      </c>
      <c r="J212" s="86">
        <f t="shared" si="110"/>
        <v>8.3707025411061284</v>
      </c>
      <c r="K212" s="86" t="str">
        <f t="shared" si="111"/>
        <v>1+24.601547951849j</v>
      </c>
      <c r="L212" s="86">
        <f t="shared" si="112"/>
        <v>-37.351960795710653</v>
      </c>
      <c r="M212" s="86" t="str">
        <f t="shared" si="113"/>
        <v>1.6877072997117j</v>
      </c>
      <c r="N212" s="86" t="str">
        <f t="shared" si="114"/>
        <v>-37.3519607957107+1.6877072997117j</v>
      </c>
      <c r="O212" s="86" t="str">
        <f t="shared" si="115"/>
        <v>0.00298154477327777-0.65850668754705j</v>
      </c>
      <c r="P212" s="86" t="str">
        <f t="shared" si="116"/>
        <v>0.0249576244100979-5.51216360278547j</v>
      </c>
      <c r="R212" s="86">
        <f t="shared" si="117"/>
        <v>11.958146487294469</v>
      </c>
      <c r="S212" s="86" t="str">
        <f t="shared" si="118"/>
        <v>1+0.0429774982937218j</v>
      </c>
      <c r="T212" s="86" t="str">
        <f t="shared" si="119"/>
        <v>-37.3519607957107+1.6877072997117j</v>
      </c>
      <c r="U212" s="86" t="str">
        <f t="shared" si="120"/>
        <v>-0.0266659264701316-0.00235547947622181j</v>
      </c>
      <c r="V212" s="86" t="str">
        <f t="shared" si="121"/>
        <v>-0.318875054949257-0.0281671686244761j</v>
      </c>
      <c r="X212" s="86" t="str">
        <f t="shared" si="122"/>
        <v>-0.113755440042048-0.205307217448564j</v>
      </c>
      <c r="Y212" s="86">
        <f t="shared" si="123"/>
        <v>-12.589165562410468</v>
      </c>
      <c r="Z212" s="86">
        <f t="shared" si="124"/>
        <v>61.010292658376812</v>
      </c>
      <c r="AB212" s="86" t="str">
        <f t="shared" si="125"/>
        <v>-0.148296603386227-0.0130994738195548j</v>
      </c>
      <c r="AC212" s="86">
        <f t="shared" si="126"/>
        <v>-16.54362071523493</v>
      </c>
      <c r="AD212" s="86">
        <f t="shared" si="127"/>
        <v>5.0480020570975341</v>
      </c>
      <c r="AF212" s="86" t="str">
        <f t="shared" si="128"/>
        <v>-0.155559061142002-0.0508176567128006j</v>
      </c>
      <c r="AG212" s="86">
        <f t="shared" si="129"/>
        <v>-15.721723066449201</v>
      </c>
      <c r="AH212" s="86">
        <f t="shared" si="130"/>
        <v>18.091054054514672</v>
      </c>
      <c r="AJ212" s="86" t="str">
        <f t="shared" si="131"/>
        <v>11670.3907357042-33002.9242238461j</v>
      </c>
      <c r="AK212" s="86" t="str">
        <f t="shared" si="132"/>
        <v>20000-0.000229213324233182j</v>
      </c>
      <c r="AL212" s="86" t="str">
        <f t="shared" si="146"/>
        <v>10000-38779.9833130383j</v>
      </c>
      <c r="AM212" s="86" t="str">
        <f t="shared" si="147"/>
        <v>933.612389193362-12201.1989241714j</v>
      </c>
      <c r="AN212" s="86" t="str">
        <f t="shared" si="148"/>
        <v>10933.6123891934-12201.1989241714j</v>
      </c>
      <c r="AO212" s="86" t="str">
        <f t="shared" si="149"/>
        <v>8809.98451904696-4413.69742455708j</v>
      </c>
      <c r="AP212" s="86" t="str">
        <f t="shared" si="150"/>
        <v>0.302746296919068+0.315484359502583j</v>
      </c>
      <c r="AQ212" s="86" t="str">
        <f t="shared" si="133"/>
        <v>1+17.5348193038385j</v>
      </c>
      <c r="AR212" s="86">
        <f t="shared" si="134"/>
        <v>-4.8035556152519848E-10</v>
      </c>
      <c r="AS212" s="86" t="str">
        <f t="shared" si="135"/>
        <v>0.000689399184963038j</v>
      </c>
      <c r="AT212" s="86" t="str">
        <f t="shared" si="136"/>
        <v>-4.80355561525198E-10+0.000689399184963038j</v>
      </c>
      <c r="AU212" s="86" t="str">
        <f t="shared" si="137"/>
        <v>3.81523919439996-0.217583420379889j</v>
      </c>
      <c r="AW212" s="86" t="str">
        <f t="shared" si="151"/>
        <v>1.45633707124387+0.56108830236189j</v>
      </c>
      <c r="AX212" s="86">
        <f t="shared" si="138"/>
        <v>3.866305267060266</v>
      </c>
      <c r="AY212" s="86">
        <f t="shared" si="139"/>
        <v>-158.92964056895588</v>
      </c>
      <c r="AZ212" s="86" t="str">
        <f t="shared" si="140"/>
        <v>-0.208619879523663-0.102284738777219j</v>
      </c>
      <c r="BA212" s="86">
        <f t="shared" si="141"/>
        <v>-12.67731544817468</v>
      </c>
      <c r="BB212" s="86">
        <f t="shared" si="142"/>
        <v>26.118361488141772</v>
      </c>
      <c r="BD212" s="86" t="str">
        <f t="shared" si="143"/>
        <v>-0.198033234773994-0.161290006877772j</v>
      </c>
      <c r="BE212" s="86">
        <f t="shared" si="144"/>
        <v>-11.855417799388947</v>
      </c>
      <c r="BF212" s="86">
        <f t="shared" si="145"/>
        <v>39.161413485558938</v>
      </c>
      <c r="BH212" s="86">
        <f t="shared" si="152"/>
        <v>12.855417799388947</v>
      </c>
      <c r="BI212" s="162">
        <f t="shared" si="153"/>
        <v>-39.161413485558938</v>
      </c>
      <c r="BJ212" s="88"/>
      <c r="BK212" s="88"/>
      <c r="BL212" s="88"/>
      <c r="BM212" s="88"/>
      <c r="BN212" s="42"/>
      <c r="BO212" s="42"/>
      <c r="BP212" s="42"/>
    </row>
    <row r="213" spans="1:68" s="86" customFormat="1">
      <c r="A213" s="86">
        <v>149</v>
      </c>
      <c r="B213" s="86">
        <f t="shared" si="103"/>
        <v>95499.258602143673</v>
      </c>
      <c r="C213" s="86" t="str">
        <f t="shared" si="104"/>
        <v>600039.538495533j</v>
      </c>
      <c r="D213" s="86">
        <f t="shared" si="105"/>
        <v>0.88771796376042955</v>
      </c>
      <c r="E213" s="86" t="str">
        <f t="shared" si="106"/>
        <v>-0.526350472364503j</v>
      </c>
      <c r="F213" s="86" t="str">
        <f t="shared" si="107"/>
        <v>0.88771796376043-0.526350472364503j</v>
      </c>
      <c r="G213" s="86">
        <f t="shared" si="108"/>
        <v>0.27385492857219434</v>
      </c>
      <c r="H213" s="86">
        <f t="shared" si="109"/>
        <v>-30.664775800684339</v>
      </c>
      <c r="J213" s="86">
        <f t="shared" si="110"/>
        <v>8.3707025411061284</v>
      </c>
      <c r="K213" s="86" t="str">
        <f t="shared" si="111"/>
        <v>1+25.7609831866243j</v>
      </c>
      <c r="L213" s="86">
        <f t="shared" si="112"/>
        <v>-41.052088791835054</v>
      </c>
      <c r="M213" s="86" t="str">
        <f t="shared" si="113"/>
        <v>1.76724649428202j</v>
      </c>
      <c r="N213" s="86" t="str">
        <f t="shared" si="114"/>
        <v>-41.0520887918351+1.76724649428202j</v>
      </c>
      <c r="O213" s="86" t="str">
        <f t="shared" si="115"/>
        <v>0.00264980216442164-0.627405354783345j</v>
      </c>
      <c r="P213" s="86" t="str">
        <f t="shared" si="116"/>
        <v>0.0221807057111527-5.25182359758854j</v>
      </c>
      <c r="R213" s="86">
        <f t="shared" si="117"/>
        <v>11.958146487294469</v>
      </c>
      <c r="S213" s="86" t="str">
        <f t="shared" si="118"/>
        <v>1+0.045002965387165j</v>
      </c>
      <c r="T213" s="86" t="str">
        <f t="shared" si="119"/>
        <v>-41.0520887918351+1.76724649428202j</v>
      </c>
      <c r="U213" s="86" t="str">
        <f t="shared" si="120"/>
        <v>-0.0242671325011414-0.00214091347876956j</v>
      </c>
      <c r="V213" s="86" t="str">
        <f t="shared" si="121"/>
        <v>-0.290189925275233-0.0256013569957496j</v>
      </c>
      <c r="X213" s="86" t="str">
        <f t="shared" si="122"/>
        <v>-0.113600762253337-0.193451452123855j</v>
      </c>
      <c r="Y213" s="86">
        <f t="shared" si="123"/>
        <v>-12.981851717425798</v>
      </c>
      <c r="Z213" s="86">
        <f t="shared" si="124"/>
        <v>59.577207435056891</v>
      </c>
      <c r="AB213" s="86" t="str">
        <f t="shared" si="125"/>
        <v>-0.134956245674558-0.0119062128743562j</v>
      </c>
      <c r="AC213" s="86">
        <f t="shared" si="126"/>
        <v>-17.362468852599928</v>
      </c>
      <c r="AD213" s="86">
        <f t="shared" si="127"/>
        <v>5.0417386335320771</v>
      </c>
      <c r="AF213" s="86" t="str">
        <f t="shared" si="128"/>
        <v>-0.142531867767014-0.0445388578719579j</v>
      </c>
      <c r="AG213" s="86">
        <f t="shared" si="129"/>
        <v>-16.51713771317392</v>
      </c>
      <c r="AH213" s="86">
        <f t="shared" si="130"/>
        <v>17.353163715879219</v>
      </c>
      <c r="AJ213" s="86" t="str">
        <f t="shared" si="131"/>
        <v>10748.6412746208-31828.8241156456j</v>
      </c>
      <c r="AK213" s="86" t="str">
        <f t="shared" si="132"/>
        <v>20000-0.000240015815398214j</v>
      </c>
      <c r="AL213" s="86" t="str">
        <f t="shared" si="146"/>
        <v>10000-37034.5965499866j</v>
      </c>
      <c r="AM213" s="86" t="str">
        <f t="shared" si="147"/>
        <v>930.859178149239-11666.8393018906j</v>
      </c>
      <c r="AN213" s="86" t="str">
        <f t="shared" si="148"/>
        <v>10930.8591781492-11666.8393018906j</v>
      </c>
      <c r="AO213" s="86" t="str">
        <f t="shared" si="149"/>
        <v>8678.65302159206-4270.30932628942j</v>
      </c>
      <c r="AP213" s="86" t="str">
        <f t="shared" si="150"/>
        <v>0.313993460019104+0.325023872063169j</v>
      </c>
      <c r="AQ213" s="86" t="str">
        <f t="shared" si="133"/>
        <v>1+18.3612098779633j</v>
      </c>
      <c r="AR213" s="86">
        <f t="shared" si="134"/>
        <v>-1.0174519013927193E-8</v>
      </c>
      <c r="AS213" s="86" t="str">
        <f t="shared" si="135"/>
        <v>0.000721889567577821j</v>
      </c>
      <c r="AT213" s="86" t="str">
        <f t="shared" si="136"/>
        <v>-1.01745190139272E-08+0.000721889567577821j</v>
      </c>
      <c r="AU213" s="86" t="str">
        <f t="shared" si="137"/>
        <v>3.81523641662458-0.207841787628118j</v>
      </c>
      <c r="AW213" s="86" t="str">
        <f t="shared" si="151"/>
        <v>1.50549398974318+0.550509925351015j</v>
      </c>
      <c r="AX213" s="86">
        <f t="shared" si="138"/>
        <v>4.0986101619184643</v>
      </c>
      <c r="AY213" s="86">
        <f t="shared" si="139"/>
        <v>-159.9141863655293</v>
      </c>
      <c r="AZ213" s="86" t="str">
        <f t="shared" si="140"/>
        <v>-0.196621328380676-0.0922194846549002j</v>
      </c>
      <c r="BA213" s="86">
        <f t="shared" si="141"/>
        <v>-13.263858690681465</v>
      </c>
      <c r="BB213" s="86">
        <f t="shared" si="142"/>
        <v>25.127552268002745</v>
      </c>
      <c r="BD213" s="86" t="str">
        <f t="shared" si="143"/>
        <v>-0.190061786947799-0.145518190720818j</v>
      </c>
      <c r="BE213" s="86">
        <f t="shared" si="144"/>
        <v>-12.41852755125543</v>
      </c>
      <c r="BF213" s="86">
        <f t="shared" si="145"/>
        <v>37.438977350349802</v>
      </c>
      <c r="BH213" s="86">
        <f t="shared" si="152"/>
        <v>13.41852755125543</v>
      </c>
      <c r="BI213" s="162">
        <f t="shared" si="153"/>
        <v>-37.438977350349802</v>
      </c>
      <c r="BJ213" s="88"/>
      <c r="BK213" s="88"/>
      <c r="BL213" s="88"/>
      <c r="BM213" s="88"/>
      <c r="BN213" s="42"/>
      <c r="BO213" s="42"/>
      <c r="BP213" s="42"/>
    </row>
    <row r="214" spans="1:68" s="86" customFormat="1">
      <c r="A214" s="86">
        <v>150</v>
      </c>
      <c r="B214" s="86">
        <f t="shared" si="103"/>
        <v>100000</v>
      </c>
      <c r="C214" s="86" t="str">
        <f t="shared" si="104"/>
        <v>628318.530717959j</v>
      </c>
      <c r="D214" s="86">
        <f t="shared" si="105"/>
        <v>0.87688519544475207</v>
      </c>
      <c r="E214" s="86" t="str">
        <f t="shared" si="106"/>
        <v>-0.551156605892947j</v>
      </c>
      <c r="F214" s="86" t="str">
        <f t="shared" si="107"/>
        <v>0.876885195444752-0.551156605892947j</v>
      </c>
      <c r="G214" s="86">
        <f t="shared" si="108"/>
        <v>0.30478786783329337</v>
      </c>
      <c r="H214" s="86">
        <f t="shared" si="109"/>
        <v>-32.150966210501295</v>
      </c>
      <c r="J214" s="86">
        <f t="shared" si="110"/>
        <v>8.3707025411061284</v>
      </c>
      <c r="K214" s="86" t="str">
        <f t="shared" si="111"/>
        <v>1+26.9750609205735j</v>
      </c>
      <c r="L214" s="86">
        <f t="shared" si="112"/>
        <v>-45.109198462524354</v>
      </c>
      <c r="M214" s="86" t="str">
        <f t="shared" si="113"/>
        <v>1.85053425560558j</v>
      </c>
      <c r="N214" s="86" t="str">
        <f t="shared" si="114"/>
        <v>-45.1091984625244+1.85053425560558j</v>
      </c>
      <c r="O214" s="86" t="str">
        <f t="shared" si="115"/>
        <v>0.00235939760384865-0.597897894304009j</v>
      </c>
      <c r="P214" s="86" t="str">
        <f t="shared" si="116"/>
        <v>0.0197498155180156-5.00482542317257j</v>
      </c>
      <c r="R214" s="86">
        <f t="shared" si="117"/>
        <v>11.958146487294469</v>
      </c>
      <c r="S214" s="86" t="str">
        <f t="shared" si="118"/>
        <v>1+0.0471238898038469j</v>
      </c>
      <c r="T214" s="86" t="str">
        <f t="shared" si="119"/>
        <v>-45.1091984625244+1.85053425560558j</v>
      </c>
      <c r="U214" s="86" t="str">
        <f t="shared" si="120"/>
        <v>-0.0220883988932555-0.00195080452782605j</v>
      </c>
      <c r="V214" s="86" t="str">
        <f t="shared" si="121"/>
        <v>-0.264136309635342-0.0233280063118212j</v>
      </c>
      <c r="X214" s="86" t="str">
        <f t="shared" si="122"/>
        <v>-0.113456501960822-0.182099262762548j</v>
      </c>
      <c r="Y214" s="86">
        <f t="shared" si="123"/>
        <v>-13.369352557443859</v>
      </c>
      <c r="Z214" s="86">
        <f t="shared" si="124"/>
        <v>58.075130627252179</v>
      </c>
      <c r="AB214" s="86" t="str">
        <f t="shared" si="125"/>
        <v>-0.122839704586259-0.0108489643392333j</v>
      </c>
      <c r="AC214" s="86">
        <f t="shared" si="126"/>
        <v>-18.179480849635251</v>
      </c>
      <c r="AD214" s="86">
        <f t="shared" si="127"/>
        <v>5.0471565081453491</v>
      </c>
      <c r="AF214" s="86" t="str">
        <f t="shared" si="128"/>
        <v>-0.130539134988158-0.0390505876573557j</v>
      </c>
      <c r="AG214" s="86">
        <f t="shared" si="129"/>
        <v>-17.312953580280478</v>
      </c>
      <c r="AH214" s="86">
        <f t="shared" si="130"/>
        <v>16.654475205855022</v>
      </c>
      <c r="AJ214" s="86" t="str">
        <f t="shared" si="131"/>
        <v>9891.9771135572-30672.5673152471j</v>
      </c>
      <c r="AK214" s="86" t="str">
        <f t="shared" si="132"/>
        <v>20000-0.000251327412287184j</v>
      </c>
      <c r="AL214" s="86" t="str">
        <f t="shared" si="146"/>
        <v>10000-35367.7651315322j</v>
      </c>
      <c r="AM214" s="86" t="str">
        <f t="shared" si="147"/>
        <v>927.858946029806-11157.1312038254j</v>
      </c>
      <c r="AN214" s="86" t="str">
        <f t="shared" si="148"/>
        <v>10927.8589460298-11157.1312038254j</v>
      </c>
      <c r="AO214" s="86" t="str">
        <f t="shared" si="149"/>
        <v>8555.9824220436-4128.39461131374j</v>
      </c>
      <c r="AP214" s="86" t="str">
        <f t="shared" si="150"/>
        <v>0.325915929717656+0.33442679572461j</v>
      </c>
      <c r="AQ214" s="86" t="str">
        <f t="shared" si="133"/>
        <v>1+19.2265470399695j</v>
      </c>
      <c r="AR214" s="86">
        <f t="shared" si="134"/>
        <v>-2.0803957869333957E-8</v>
      </c>
      <c r="AS214" s="86" t="str">
        <f t="shared" si="135"/>
        <v>0.000755911174750855j</v>
      </c>
      <c r="AT214" s="86" t="str">
        <f t="shared" si="136"/>
        <v>-2.0803957869334E-08+0.000755911174750855j</v>
      </c>
      <c r="AU214" s="86" t="str">
        <f t="shared" si="137"/>
        <v>3.81523388182092-0.198541015105914j</v>
      </c>
      <c r="AW214" s="86" t="str">
        <f t="shared" si="151"/>
        <v>1.55555962147109+0.535720588304218j</v>
      </c>
      <c r="AX214" s="86">
        <f t="shared" si="138"/>
        <v>4.3245011650819283</v>
      </c>
      <c r="AY214" s="86">
        <f t="shared" si="139"/>
        <v>-160.99675800685995</v>
      </c>
      <c r="AZ214" s="86" t="str">
        <f t="shared" si="140"/>
        <v>-0.185272470809517-0.0826839696689583j</v>
      </c>
      <c r="BA214" s="86">
        <f t="shared" si="141"/>
        <v>-13.854979684553282</v>
      </c>
      <c r="BB214" s="86">
        <f t="shared" si="142"/>
        <v>24.050398501285343</v>
      </c>
      <c r="BD214" s="86" t="str">
        <f t="shared" si="143"/>
        <v>-0.18214120361592-0.13067801954708j</v>
      </c>
      <c r="BE214" s="86">
        <f t="shared" si="144"/>
        <v>-12.988452415198495</v>
      </c>
      <c r="BF214" s="86">
        <f t="shared" si="145"/>
        <v>35.657717198994959</v>
      </c>
      <c r="BH214" s="86">
        <f t="shared" si="152"/>
        <v>13.988452415198495</v>
      </c>
      <c r="BI214" s="162">
        <f t="shared" si="153"/>
        <v>-35.657717198994959</v>
      </c>
      <c r="BJ214" s="88"/>
      <c r="BK214" s="88"/>
      <c r="BL214" s="88"/>
      <c r="BM214" s="88"/>
      <c r="BN214" s="42"/>
      <c r="BO214" s="42"/>
      <c r="BP214" s="42"/>
    </row>
    <row r="215" spans="1:68" s="86" customFormat="1">
      <c r="A215" s="86">
        <v>151</v>
      </c>
      <c r="B215" s="86">
        <f t="shared" si="103"/>
        <v>104712.85480509</v>
      </c>
      <c r="C215" s="86" t="str">
        <f t="shared" si="104"/>
        <v>657930.270784171j</v>
      </c>
      <c r="D215" s="86">
        <f t="shared" si="105"/>
        <v>0.86500730118274083</v>
      </c>
      <c r="E215" s="86" t="str">
        <f t="shared" si="106"/>
        <v>-0.577131816477343j</v>
      </c>
      <c r="F215" s="86" t="str">
        <f t="shared" si="107"/>
        <v>0.865007301182741-0.577131816477343j</v>
      </c>
      <c r="G215" s="86">
        <f t="shared" si="108"/>
        <v>0.33953739594967702</v>
      </c>
      <c r="H215" s="86">
        <f t="shared" si="109"/>
        <v>-33.711169334502692</v>
      </c>
      <c r="J215" s="86">
        <f t="shared" si="110"/>
        <v>8.3707025411061284</v>
      </c>
      <c r="K215" s="86" t="str">
        <f t="shared" si="111"/>
        <v>1+28.2463563753447j</v>
      </c>
      <c r="L215" s="86">
        <f t="shared" si="112"/>
        <v>-49.557730755796854</v>
      </c>
      <c r="M215" s="86" t="str">
        <f t="shared" si="113"/>
        <v>1.93774724819072j</v>
      </c>
      <c r="N215" s="86" t="str">
        <f t="shared" si="114"/>
        <v>-49.5577307557969+1.93774724819072j</v>
      </c>
      <c r="O215" s="86" t="str">
        <f t="shared" si="115"/>
        <v>0.0021045326815884-0.569886431283552j</v>
      </c>
      <c r="P215" s="86" t="str">
        <f t="shared" si="116"/>
        <v>0.0176164170656129-4.77034979848713j</v>
      </c>
      <c r="R215" s="86">
        <f t="shared" si="117"/>
        <v>11.958146487294469</v>
      </c>
      <c r="S215" s="86" t="str">
        <f t="shared" si="118"/>
        <v>1+0.0493447703088128j</v>
      </c>
      <c r="T215" s="86" t="str">
        <f t="shared" si="119"/>
        <v>-49.5577307557969+1.93774724819072j</v>
      </c>
      <c r="U215" s="86" t="str">
        <f t="shared" si="120"/>
        <v>-0.0201088098792824-0.00178197346750896j</v>
      </c>
      <c r="V215" s="86" t="str">
        <f t="shared" si="121"/>
        <v>-0.240464094221613-0.0213090997609442j</v>
      </c>
      <c r="X215" s="86" t="str">
        <f t="shared" si="122"/>
        <v>-0.113322315724413-0.171214051500121j</v>
      </c>
      <c r="Y215" s="86">
        <f t="shared" si="123"/>
        <v>-13.75138557427981</v>
      </c>
      <c r="Z215" s="86">
        <f t="shared" si="124"/>
        <v>56.500417195281671</v>
      </c>
      <c r="AB215" s="86" t="str">
        <f t="shared" si="125"/>
        <v>-0.111830661746449-0.00991004804771935j</v>
      </c>
      <c r="AC215" s="86">
        <f t="shared" si="126"/>
        <v>-18.994810632357492</v>
      </c>
      <c r="AD215" s="86">
        <f t="shared" si="127"/>
        <v>5.0641262578778026</v>
      </c>
      <c r="AF215" s="86" t="str">
        <f t="shared" si="128"/>
        <v>-0.119509050059664-0.034253345085795j</v>
      </c>
      <c r="AG215" s="86">
        <f t="shared" si="129"/>
        <v>-18.1091118869257</v>
      </c>
      <c r="AH215" s="86">
        <f t="shared" si="130"/>
        <v>15.993211403909697</v>
      </c>
      <c r="AJ215" s="86" t="str">
        <f t="shared" si="131"/>
        <v>9096.99899317438-29536.9176388041j</v>
      </c>
      <c r="AK215" s="86" t="str">
        <f t="shared" si="132"/>
        <v>20000-0.000263172108313668j</v>
      </c>
      <c r="AL215" s="86" t="str">
        <f t="shared" si="146"/>
        <v>10000-33775.9534847608j</v>
      </c>
      <c r="AM215" s="86" t="str">
        <f t="shared" si="147"/>
        <v>924.59140744975-10670.9803944297j</v>
      </c>
      <c r="AN215" s="86" t="str">
        <f t="shared" si="148"/>
        <v>10924.5914074498-10670.9803944297j</v>
      </c>
      <c r="AO215" s="86" t="str">
        <f t="shared" si="149"/>
        <v>8441.56739610614-3988.40543226187j</v>
      </c>
      <c r="AP215" s="86" t="str">
        <f t="shared" si="150"/>
        <v>0.338521249513282+0.34363935930718j</v>
      </c>
      <c r="AQ215" s="86" t="str">
        <f t="shared" si="133"/>
        <v>1+20.1326662859956j</v>
      </c>
      <c r="AR215" s="86">
        <f t="shared" si="134"/>
        <v>-3.2458905811524703E-8</v>
      </c>
      <c r="AS215" s="86" t="str">
        <f t="shared" si="135"/>
        <v>0.000791536170872313j</v>
      </c>
      <c r="AT215" s="86" t="str">
        <f t="shared" si="136"/>
        <v>-3.24589058115247E-08+0.000791536170872313j</v>
      </c>
      <c r="AU215" s="86" t="str">
        <f t="shared" si="137"/>
        <v>3.81523156847092-0.189661374636469j</v>
      </c>
      <c r="AW215" s="86" t="str">
        <f t="shared" si="151"/>
        <v>1.60617655023661+0.516422961778007j</v>
      </c>
      <c r="AX215" s="86">
        <f t="shared" si="138"/>
        <v>4.5431054520840748</v>
      </c>
      <c r="AY215" s="86">
        <f t="shared" si="139"/>
        <v>-162.17619912899022</v>
      </c>
      <c r="AZ215" s="86" t="str">
        <f t="shared" si="140"/>
        <v>-0.174502010130424-0.0736692083426608j</v>
      </c>
      <c r="BA215" s="86">
        <f t="shared" si="141"/>
        <v>-14.451705180273375</v>
      </c>
      <c r="BB215" s="86">
        <f t="shared" si="142"/>
        <v>22.887927128887554</v>
      </c>
      <c r="BD215" s="86" t="str">
        <f t="shared" si="143"/>
        <v>-0.174263419826876-0.116734137235055j</v>
      </c>
      <c r="BE215" s="86">
        <f t="shared" si="144"/>
        <v>-13.566006434841576</v>
      </c>
      <c r="BF215" s="86">
        <f t="shared" si="145"/>
        <v>33.817012274919563</v>
      </c>
      <c r="BH215" s="86">
        <f t="shared" si="152"/>
        <v>14.566006434841576</v>
      </c>
      <c r="BI215" s="162">
        <f t="shared" si="153"/>
        <v>-33.817012274919563</v>
      </c>
      <c r="BJ215" s="88"/>
      <c r="BK215" s="88"/>
      <c r="BL215" s="88"/>
      <c r="BM215" s="88"/>
      <c r="BN215" s="42"/>
      <c r="BO215" s="42"/>
      <c r="BP215" s="42"/>
    </row>
    <row r="216" spans="1:68" s="86" customFormat="1">
      <c r="A216" s="86">
        <v>152</v>
      </c>
      <c r="B216" s="86">
        <f t="shared" si="103"/>
        <v>109647.81961431864</v>
      </c>
      <c r="C216" s="86" t="str">
        <f t="shared" si="104"/>
        <v>688937.569164964j</v>
      </c>
      <c r="D216" s="86">
        <f t="shared" si="105"/>
        <v>0.85198344910835144</v>
      </c>
      <c r="E216" s="86" t="str">
        <f t="shared" si="106"/>
        <v>-0.604331201021898j</v>
      </c>
      <c r="F216" s="86" t="str">
        <f t="shared" si="107"/>
        <v>0.851983449108351-0.604331201021898j</v>
      </c>
      <c r="G216" s="86">
        <f t="shared" si="108"/>
        <v>0.37861370730763538</v>
      </c>
      <c r="H216" s="86">
        <f t="shared" si="109"/>
        <v>-35.348943185463469</v>
      </c>
      <c r="J216" s="86">
        <f t="shared" si="110"/>
        <v>8.3707025411061284</v>
      </c>
      <c r="K216" s="86" t="str">
        <f t="shared" si="111"/>
        <v>1+29.577566139043j</v>
      </c>
      <c r="L216" s="86">
        <f t="shared" si="112"/>
        <v>-54.43544942020894</v>
      </c>
      <c r="M216" s="86" t="str">
        <f t="shared" si="113"/>
        <v>2.02907046248757j</v>
      </c>
      <c r="N216" s="86" t="str">
        <f t="shared" si="114"/>
        <v>-54.4354494202089+2.02907046248757j</v>
      </c>
      <c r="O216" s="86" t="str">
        <f t="shared" si="115"/>
        <v>0.00188031208384868-0.54328110024484j</v>
      </c>
      <c r="P216" s="86" t="str">
        <f t="shared" si="116"/>
        <v>0.0157395331383447-4.54764448635442j</v>
      </c>
      <c r="R216" s="86">
        <f t="shared" si="117"/>
        <v>11.958146487294469</v>
      </c>
      <c r="S216" s="86" t="str">
        <f t="shared" si="118"/>
        <v>1+0.0516703176873723j</v>
      </c>
      <c r="T216" s="86" t="str">
        <f t="shared" si="119"/>
        <v>-54.4354494202089+2.02907046248757j</v>
      </c>
      <c r="U216" s="86" t="str">
        <f t="shared" si="120"/>
        <v>-0.018309561127601-0.00163168869364608j</v>
      </c>
      <c r="V216" s="86" t="str">
        <f t="shared" si="121"/>
        <v>-0.218948414081925-0.019511972420282j</v>
      </c>
      <c r="X216" s="86" t="str">
        <f t="shared" si="122"/>
        <v>-0.113197784852937-0.160761929191359j</v>
      </c>
      <c r="Y216" s="86">
        <f t="shared" si="123"/>
        <v>-14.127590862220362</v>
      </c>
      <c r="Z216" s="86">
        <f t="shared" si="124"/>
        <v>54.849358423693758</v>
      </c>
      <c r="AB216" s="86" t="str">
        <f t="shared" si="125"/>
        <v>-0.101824541058307-0.00907427279237635j</v>
      </c>
      <c r="AC216" s="86">
        <f t="shared" si="126"/>
        <v>-19.808596229420679</v>
      </c>
      <c r="AD216" s="86">
        <f t="shared" si="127"/>
        <v>5.0925610815336313</v>
      </c>
      <c r="AF216" s="86" t="str">
        <f t="shared" si="128"/>
        <v>-0.109372799649331-0.0300599779857814j</v>
      </c>
      <c r="AG216" s="86">
        <f t="shared" si="129"/>
        <v>-18.905560620627465</v>
      </c>
      <c r="AH216" s="86">
        <f t="shared" si="130"/>
        <v>15.367707523209873</v>
      </c>
      <c r="AJ216" s="86" t="str">
        <f t="shared" si="131"/>
        <v>8360.29398445649-28424.2212357945j</v>
      </c>
      <c r="AK216" s="86" t="str">
        <f t="shared" si="132"/>
        <v>20000-0.000275575027665986j</v>
      </c>
      <c r="AL216" s="86" t="str">
        <f t="shared" si="146"/>
        <v>10000-32255.7851637514j</v>
      </c>
      <c r="AM216" s="86" t="str">
        <f t="shared" si="147"/>
        <v>921.034972367857-10207.3409251232j</v>
      </c>
      <c r="AN216" s="86" t="str">
        <f t="shared" si="148"/>
        <v>10921.0349723679-10207.3409251232j</v>
      </c>
      <c r="AO216" s="86" t="str">
        <f t="shared" si="149"/>
        <v>8334.98862893336-3850.73619880352j</v>
      </c>
      <c r="AP216" s="86" t="str">
        <f t="shared" si="150"/>
        <v>0.351811738660927+0.352604755081309j</v>
      </c>
      <c r="AQ216" s="86" t="str">
        <f t="shared" si="133"/>
        <v>1+21.0814896164479j</v>
      </c>
      <c r="AR216" s="86">
        <f t="shared" si="134"/>
        <v>-4.5238302107320565E-8</v>
      </c>
      <c r="AS216" s="86" t="str">
        <f t="shared" si="135"/>
        <v>0.000828840121335293j</v>
      </c>
      <c r="AT216" s="86" t="str">
        <f t="shared" si="136"/>
        <v>-4.52383021073206E-08+0.000828840121335293j</v>
      </c>
      <c r="AU216" s="86" t="str">
        <f t="shared" si="137"/>
        <v>3.81522945693651-0.18118403131939j</v>
      </c>
      <c r="AW216" s="86" t="str">
        <f t="shared" si="151"/>
        <v>1.65693084297638+0.492347007646251j</v>
      </c>
      <c r="AX216" s="86">
        <f t="shared" si="138"/>
        <v>4.7535521413120732</v>
      </c>
      <c r="AY216" s="86">
        <f t="shared" si="139"/>
        <v>-163.45100058947708</v>
      </c>
      <c r="AZ216" s="86" t="str">
        <f t="shared" si="140"/>
        <v>-0.164248531595532-0.0651684505622802j</v>
      </c>
      <c r="BA216" s="86">
        <f t="shared" si="141"/>
        <v>-15.055044088108575</v>
      </c>
      <c r="BB216" s="86">
        <f t="shared" si="142"/>
        <v>21.641560492056527</v>
      </c>
      <c r="BD216" s="86" t="str">
        <f t="shared" si="143"/>
        <v>-0.166423224910442-0.103656675289074j</v>
      </c>
      <c r="BE216" s="86">
        <f t="shared" si="144"/>
        <v>-14.152008479315342</v>
      </c>
      <c r="BF216" s="86">
        <f t="shared" si="145"/>
        <v>31.916706933732883</v>
      </c>
      <c r="BH216" s="86">
        <f t="shared" si="152"/>
        <v>15.152008479315342</v>
      </c>
      <c r="BI216" s="162">
        <f t="shared" si="153"/>
        <v>-31.916706933732883</v>
      </c>
      <c r="BJ216" s="88"/>
      <c r="BK216" s="88"/>
      <c r="BL216" s="88"/>
      <c r="BM216" s="88"/>
      <c r="BN216" s="42"/>
      <c r="BO216" s="42"/>
      <c r="BP216" s="42"/>
    </row>
    <row r="217" spans="1:68" s="86" customFormat="1">
      <c r="A217" s="86">
        <v>153</v>
      </c>
      <c r="B217" s="86">
        <f t="shared" si="103"/>
        <v>114815.3621496884</v>
      </c>
      <c r="C217" s="86" t="str">
        <f t="shared" si="104"/>
        <v>721406.196497425j</v>
      </c>
      <c r="D217" s="86">
        <f t="shared" si="105"/>
        <v>0.83770307927898946</v>
      </c>
      <c r="E217" s="86" t="str">
        <f t="shared" si="106"/>
        <v>-0.632812453067917j</v>
      </c>
      <c r="F217" s="86" t="str">
        <f t="shared" si="107"/>
        <v>0.837703079278989-0.632812453067917j</v>
      </c>
      <c r="G217" s="86">
        <f t="shared" si="108"/>
        <v>0.42259638257578286</v>
      </c>
      <c r="H217" s="86">
        <f t="shared" si="109"/>
        <v>-37.067901985408966</v>
      </c>
      <c r="J217" s="86">
        <f t="shared" si="110"/>
        <v>8.3707025411061284</v>
      </c>
      <c r="K217" s="86" t="str">
        <f t="shared" si="111"/>
        <v>1+30.9715138860555j</v>
      </c>
      <c r="L217" s="86">
        <f t="shared" si="112"/>
        <v>-59.783761582657377</v>
      </c>
      <c r="M217" s="86" t="str">
        <f t="shared" si="113"/>
        <v>2.12469760727758j</v>
      </c>
      <c r="N217" s="86" t="str">
        <f t="shared" si="114"/>
        <v>-59.7837615826574+2.12469760727758j</v>
      </c>
      <c r="O217" s="86" t="str">
        <f t="shared" si="115"/>
        <v>0.00168259063631373-0.517999170174999j</v>
      </c>
      <c r="P217" s="86" t="str">
        <f t="shared" si="116"/>
        <v>0.0140844657150327-4.33601697007473j</v>
      </c>
      <c r="R217" s="86">
        <f t="shared" si="117"/>
        <v>11.958146487294469</v>
      </c>
      <c r="S217" s="86" t="str">
        <f t="shared" si="118"/>
        <v>1+0.0541054647373069j</v>
      </c>
      <c r="T217" s="86" t="str">
        <f t="shared" si="119"/>
        <v>-59.7837615826574+2.12469760727758j</v>
      </c>
      <c r="U217" s="86" t="str">
        <f t="shared" si="120"/>
        <v>-0.0166737259248832-0.0014975988118533j</v>
      </c>
      <c r="V217" s="86" t="str">
        <f t="shared" si="121"/>
        <v>-0.199386857098753-0.0179085059713399j</v>
      </c>
      <c r="X217" s="86" t="str">
        <f t="shared" si="122"/>
        <v>-0.113082442054369-0.15071139990079j</v>
      </c>
      <c r="Y217" s="86">
        <f t="shared" si="123"/>
        <v>-14.497525046320385</v>
      </c>
      <c r="Z217" s="86">
        <f t="shared" si="124"/>
        <v>53.118208357232973</v>
      </c>
      <c r="AB217" s="86" t="str">
        <f t="shared" si="125"/>
        <v>-0.0927272083804276-0.00832856181771348j</v>
      </c>
      <c r="AC217" s="86">
        <f t="shared" si="126"/>
        <v>-20.620961227593039</v>
      </c>
      <c r="AD217" s="86">
        <f t="shared" si="127"/>
        <v>5.1324138569701461</v>
      </c>
      <c r="AF217" s="86" t="str">
        <f t="shared" si="128"/>
        <v>-0.10006488268381-0.026394201082367j</v>
      </c>
      <c r="AG217" s="86">
        <f t="shared" si="129"/>
        <v>-19.702253466362116</v>
      </c>
      <c r="AH217" s="86">
        <f t="shared" si="130"/>
        <v>14.776404061899314</v>
      </c>
      <c r="AJ217" s="86" t="str">
        <f t="shared" si="131"/>
        <v>7678.47303751599-27336.4357726336j</v>
      </c>
      <c r="AK217" s="86" t="str">
        <f t="shared" si="132"/>
        <v>20000-0.00028856247859897j</v>
      </c>
      <c r="AL217" s="86" t="str">
        <f t="shared" si="146"/>
        <v>10000-30804.0356876829j</v>
      </c>
      <c r="AM217" s="86" t="str">
        <f t="shared" si="147"/>
        <v>917.166733125317-9765.21272653885j</v>
      </c>
      <c r="AN217" s="86" t="str">
        <f t="shared" si="148"/>
        <v>10917.1667331253-9765.21272653885j</v>
      </c>
      <c r="AO217" s="86" t="str">
        <f t="shared" si="149"/>
        <v>8235.81905455383-3715.72632289196j</v>
      </c>
      <c r="AP217" s="86" t="str">
        <f t="shared" si="150"/>
        <v>0.365783860274451+0.361263672547774j</v>
      </c>
      <c r="AQ217" s="86" t="str">
        <f t="shared" si="133"/>
        <v>1+22.0750296128212j</v>
      </c>
      <c r="AR217" s="86">
        <f t="shared" si="134"/>
        <v>-5.9250631505533579E-8</v>
      </c>
      <c r="AS217" s="86" t="str">
        <f t="shared" si="135"/>
        <v>0.000867902152820157j</v>
      </c>
      <c r="AT217" s="86" t="str">
        <f t="shared" si="136"/>
        <v>-5.92506315055336E-08+0.000867902152820157j</v>
      </c>
      <c r="AU217" s="86" t="str">
        <f t="shared" si="137"/>
        <v>3.81522752929275-0.173091003579498j</v>
      </c>
      <c r="AW217" s="86" t="str">
        <f t="shared" si="151"/>
        <v>1.70735272029762+0.463260294321042j</v>
      </c>
      <c r="AX217" s="86">
        <f t="shared" si="138"/>
        <v>4.9549763267190636</v>
      </c>
      <c r="AY217" s="86">
        <f t="shared" si="139"/>
        <v>-164.819289256302</v>
      </c>
      <c r="AZ217" s="86" t="str">
        <f t="shared" si="140"/>
        <v>-0.154459759474982-0.0571766265215255j</v>
      </c>
      <c r="BA217" s="86">
        <f t="shared" si="141"/>
        <v>-15.665984900873992</v>
      </c>
      <c r="BB217" s="86">
        <f t="shared" si="142"/>
        <v>20.313124600668203</v>
      </c>
      <c r="BD217" s="86" t="str">
        <f t="shared" si="143"/>
        <v>-0.158618664294679-0.0914202980213641j</v>
      </c>
      <c r="BE217" s="86">
        <f t="shared" si="144"/>
        <v>-14.747277139643053</v>
      </c>
      <c r="BF217" s="86">
        <f t="shared" si="145"/>
        <v>29.957114805597399</v>
      </c>
      <c r="BH217" s="86">
        <f t="shared" si="152"/>
        <v>15.747277139643053</v>
      </c>
      <c r="BI217" s="162">
        <f t="shared" si="153"/>
        <v>-29.957114805597399</v>
      </c>
      <c r="BJ217" s="88"/>
      <c r="BK217" s="88"/>
      <c r="BL217" s="88"/>
      <c r="BM217" s="88"/>
      <c r="BN217" s="42"/>
      <c r="BO217" s="42"/>
      <c r="BP217" s="42"/>
    </row>
    <row r="218" spans="1:68" s="86" customFormat="1">
      <c r="A218" s="86">
        <v>154</v>
      </c>
      <c r="B218" s="86">
        <f t="shared" si="103"/>
        <v>120226.44346174138</v>
      </c>
      <c r="C218" s="86" t="str">
        <f t="shared" si="104"/>
        <v>755405.023093271j</v>
      </c>
      <c r="D218" s="86">
        <f t="shared" si="105"/>
        <v>0.82204496512823266</v>
      </c>
      <c r="E218" s="86" t="str">
        <f t="shared" si="106"/>
        <v>-0.662635985169536j</v>
      </c>
      <c r="F218" s="86" t="str">
        <f t="shared" si="107"/>
        <v>0.822044965128233-0.662635985169536j</v>
      </c>
      <c r="G218" s="86">
        <f t="shared" si="108"/>
        <v>0.47214246368459645</v>
      </c>
      <c r="H218" s="86">
        <f t="shared" si="109"/>
        <v>-38.871676423525592</v>
      </c>
      <c r="J218" s="86">
        <f t="shared" si="110"/>
        <v>8.3707025411061284</v>
      </c>
      <c r="K218" s="86" t="str">
        <f t="shared" si="111"/>
        <v>1+32.4311563664436j</v>
      </c>
      <c r="L218" s="86">
        <f t="shared" si="112"/>
        <v>-65.648069254949689</v>
      </c>
      <c r="M218" s="86" t="str">
        <f t="shared" si="113"/>
        <v>2.22483152055579j</v>
      </c>
      <c r="N218" s="86" t="str">
        <f t="shared" si="114"/>
        <v>-65.6480692549497+2.22483152055579j</v>
      </c>
      <c r="O218" s="86" t="str">
        <f t="shared" si="115"/>
        <v>0.00150784805562074-0.493964286026832j</v>
      </c>
      <c r="P218" s="86" t="str">
        <f t="shared" si="116"/>
        <v>0.0126217475507865-4.13482810426048j</v>
      </c>
      <c r="R218" s="86">
        <f t="shared" si="117"/>
        <v>11.958146487294469</v>
      </c>
      <c r="S218" s="86" t="str">
        <f t="shared" si="118"/>
        <v>1+0.0566553767319953j</v>
      </c>
      <c r="T218" s="86" t="str">
        <f t="shared" si="119"/>
        <v>-65.6480692549497+2.22483152055579j</v>
      </c>
      <c r="U218" s="86" t="str">
        <f t="shared" si="120"/>
        <v>-0.0151860506171697-0.00137767617302791j</v>
      </c>
      <c r="V218" s="86" t="str">
        <f t="shared" si="121"/>
        <v>-0.181597017843584-0.016474453489123j</v>
      </c>
      <c r="X218" s="86" t="str">
        <f t="shared" si="122"/>
        <v>-0.112975791787176-0.141033086627497j</v>
      </c>
      <c r="Y218" s="86">
        <f t="shared" si="123"/>
        <v>-14.860654595607024</v>
      </c>
      <c r="Z218" s="86">
        <f t="shared" si="124"/>
        <v>51.303220960437017</v>
      </c>
      <c r="AB218" s="86" t="str">
        <f t="shared" si="125"/>
        <v>-0.0844538339179808-0.00766163880542518j</v>
      </c>
      <c r="AC218" s="86">
        <f t="shared" si="126"/>
        <v>-21.432016055541396</v>
      </c>
      <c r="AD218" s="86">
        <f t="shared" si="127"/>
        <v>5.1836746651287342</v>
      </c>
      <c r="AF218" s="86" t="str">
        <f t="shared" si="128"/>
        <v>-0.0915232950909547-0.0231892787366707j</v>
      </c>
      <c r="AG218" s="86">
        <f t="shared" si="129"/>
        <v>-20.49914888597614</v>
      </c>
      <c r="AH218" s="86">
        <f t="shared" si="130"/>
        <v>14.217840228956476</v>
      </c>
      <c r="AJ218" s="86" t="str">
        <f t="shared" si="131"/>
        <v>7048.20229068236-26275.1609888744j</v>
      </c>
      <c r="AK218" s="86" t="str">
        <f t="shared" si="132"/>
        <v>20000-0.000302162009237308j</v>
      </c>
      <c r="AL218" s="86" t="str">
        <f t="shared" si="146"/>
        <v>10000-29417.6257012768j</v>
      </c>
      <c r="AM218" s="86" t="str">
        <f t="shared" si="147"/>
        <v>912.962467670588-9343.6392833537j</v>
      </c>
      <c r="AN218" s="86" t="str">
        <f t="shared" si="148"/>
        <v>10912.9624676706-9343.6392833537j</v>
      </c>
      <c r="AO218" s="86" t="str">
        <f t="shared" si="149"/>
        <v>8143.62926262862-3583.6634011494j</v>
      </c>
      <c r="AP218" s="86" t="str">
        <f t="shared" si="150"/>
        <v>0.380427641390801+0.369554960715197j</v>
      </c>
      <c r="AQ218" s="86" t="str">
        <f t="shared" si="133"/>
        <v>1+23.1153937066541j</v>
      </c>
      <c r="AR218" s="86">
        <f t="shared" si="134"/>
        <v>-7.4614845167850779E-8</v>
      </c>
      <c r="AS218" s="86" t="str">
        <f t="shared" si="135"/>
        <v>0.000908805121132821j</v>
      </c>
      <c r="AT218" s="86" t="str">
        <f t="shared" si="136"/>
        <v>-7.46148451678508E-08+0.000908805121132821j</v>
      </c>
      <c r="AU218" s="86" t="str">
        <f t="shared" si="137"/>
        <v>3.81522576917584-0.165365125025614j</v>
      </c>
      <c r="AW218" s="86" t="str">
        <f t="shared" si="151"/>
        <v>1.75691913031495+0.428978888511893j</v>
      </c>
      <c r="AX218" s="86">
        <f t="shared" si="138"/>
        <v>5.1465235818299151</v>
      </c>
      <c r="AY218" s="86">
        <f t="shared" si="139"/>
        <v>-166.27881845415084</v>
      </c>
      <c r="AZ218" s="86" t="str">
        <f t="shared" si="140"/>
        <v>-0.145091875140011-0.0496897915915183j</v>
      </c>
      <c r="BA218" s="86">
        <f t="shared" si="141"/>
        <v>-16.285492473711486</v>
      </c>
      <c r="BB218" s="86">
        <f t="shared" si="142"/>
        <v>18.904856210977897</v>
      </c>
      <c r="BD218" s="86" t="str">
        <f t="shared" si="143"/>
        <v>-0.150851316996909-0.0800032488317261j</v>
      </c>
      <c r="BE218" s="86">
        <f t="shared" si="144"/>
        <v>-15.352625304146237</v>
      </c>
      <c r="BF218" s="86">
        <f t="shared" si="145"/>
        <v>27.939021774805667</v>
      </c>
      <c r="BH218" s="86">
        <f t="shared" si="152"/>
        <v>16.352625304146237</v>
      </c>
      <c r="BI218" s="162">
        <f t="shared" si="153"/>
        <v>-27.939021774805667</v>
      </c>
      <c r="BJ218" s="88"/>
      <c r="BK218" s="88"/>
      <c r="BL218" s="88"/>
      <c r="BM218" s="88"/>
      <c r="BN218" s="42"/>
      <c r="BO218" s="42"/>
      <c r="BP218" s="42"/>
    </row>
    <row r="219" spans="1:68" s="86" customFormat="1">
      <c r="A219" s="86">
        <v>155</v>
      </c>
      <c r="B219" s="86">
        <f t="shared" si="103"/>
        <v>125892.5411794168</v>
      </c>
      <c r="C219" s="86" t="str">
        <f t="shared" si="104"/>
        <v>791006.165022013j</v>
      </c>
      <c r="D219" s="86">
        <f t="shared" si="105"/>
        <v>0.80487618436920694</v>
      </c>
      <c r="E219" s="86" t="str">
        <f t="shared" si="106"/>
        <v>-0.693865057036854j</v>
      </c>
      <c r="F219" s="86" t="str">
        <f t="shared" si="107"/>
        <v>0.804876184369207-0.693865057036854j</v>
      </c>
      <c r="G219" s="86">
        <f t="shared" si="108"/>
        <v>0.52799479024356211</v>
      </c>
      <c r="H219" s="86">
        <f t="shared" si="109"/>
        <v>-40.763861551505528</v>
      </c>
      <c r="J219" s="86">
        <f t="shared" si="110"/>
        <v>8.3707025411061284</v>
      </c>
      <c r="K219" s="86" t="str">
        <f t="shared" si="111"/>
        <v>1+33.9595896776058j</v>
      </c>
      <c r="L219" s="86">
        <f t="shared" si="112"/>
        <v>-72.078154753093315</v>
      </c>
      <c r="M219" s="86" t="str">
        <f t="shared" si="113"/>
        <v>2.32968459977746j</v>
      </c>
      <c r="N219" s="86" t="str">
        <f t="shared" si="114"/>
        <v>-72.0781547530933+2.32968459977746j</v>
      </c>
      <c r="O219" s="86" t="str">
        <f t="shared" si="115"/>
        <v>0.00135308608652485-0.471105809105505j</v>
      </c>
      <c r="P219" s="86" t="str">
        <f t="shared" si="116"/>
        <v>0.0113262811428089-3.94348659340931j</v>
      </c>
      <c r="R219" s="86">
        <f t="shared" si="117"/>
        <v>11.958146487294469</v>
      </c>
      <c r="S219" s="86" t="str">
        <f t="shared" si="118"/>
        <v>1+0.059325462376651j</v>
      </c>
      <c r="T219" s="86" t="str">
        <f t="shared" si="119"/>
        <v>-72.0781547530933+2.32968459977746j</v>
      </c>
      <c r="U219" s="86" t="str">
        <f t="shared" si="120"/>
        <v>-0.0138327751224795-0.00127016938579088j</v>
      </c>
      <c r="V219" s="86" t="str">
        <f t="shared" si="121"/>
        <v>-0.165414351240413-0.0151888715789642j</v>
      </c>
      <c r="X219" s="86" t="str">
        <f t="shared" si="122"/>
        <v>-0.112877325683757-0.131699491985129j</v>
      </c>
      <c r="Y219" s="86">
        <f t="shared" si="123"/>
        <v>-15.216348726522938</v>
      </c>
      <c r="Z219" s="86">
        <f t="shared" si="124"/>
        <v>49.40070001279949</v>
      </c>
      <c r="AB219" s="86" t="str">
        <f t="shared" si="125"/>
        <v>-0.0769278940436188-0.00706376378292878j</v>
      </c>
      <c r="AC219" s="86">
        <f t="shared" si="126"/>
        <v>-22.241859115722718</v>
      </c>
      <c r="AD219" s="86">
        <f t="shared" si="127"/>
        <v>5.246368710948758</v>
      </c>
      <c r="AF219" s="86" t="str">
        <f t="shared" si="128"/>
        <v>-0.0836896152139037-0.0203868575504177j</v>
      </c>
      <c r="AG219" s="86">
        <f t="shared" si="129"/>
        <v>-21.296209324263778</v>
      </c>
      <c r="AH219" s="86">
        <f t="shared" si="130"/>
        <v>13.690647833492051</v>
      </c>
      <c r="AJ219" s="86" t="str">
        <f t="shared" si="131"/>
        <v>6466.2286135319-25241.6697533739j</v>
      </c>
      <c r="AK219" s="86" t="str">
        <f t="shared" si="132"/>
        <v>20000-0.000316402466008806j</v>
      </c>
      <c r="AL219" s="86" t="str">
        <f t="shared" si="146"/>
        <v>10000-28093.614443073j</v>
      </c>
      <c r="AM219" s="86" t="str">
        <f t="shared" si="147"/>
        <v>908.396662607176-8941.70538728712j</v>
      </c>
      <c r="AN219" s="86" t="str">
        <f t="shared" si="148"/>
        <v>10908.3966626072-8941.70538728712j</v>
      </c>
      <c r="AO219" s="86" t="str">
        <f t="shared" si="149"/>
        <v>8057.99210320835-3454.78668509604j</v>
      </c>
      <c r="AP219" s="86" t="str">
        <f t="shared" si="150"/>
        <v>0.39572617210637+0.377416416359939j</v>
      </c>
      <c r="AQ219" s="86" t="str">
        <f t="shared" si="133"/>
        <v>1+24.2047886496736j</v>
      </c>
      <c r="AR219" s="86">
        <f t="shared" si="134"/>
        <v>-9.1461370449466592E-8</v>
      </c>
      <c r="AS219" s="86" t="str">
        <f t="shared" si="135"/>
        <v>0.000951635786953033j</v>
      </c>
      <c r="AT219" s="86" t="str">
        <f t="shared" si="136"/>
        <v>-9.14613704494666E-08+0.000951635786953033j</v>
      </c>
      <c r="AU219" s="86" t="str">
        <f t="shared" si="137"/>
        <v>3.81522416164408-0.15799000803846j</v>
      </c>
      <c r="AW219" s="86" t="str">
        <f t="shared" si="151"/>
        <v>1.80505848317494+0.389378465357324j</v>
      </c>
      <c r="AX219" s="86">
        <f t="shared" si="138"/>
        <v>5.3273549339023587</v>
      </c>
      <c r="AY219" s="86">
        <f t="shared" si="139"/>
        <v>-167.82696078313739</v>
      </c>
      <c r="AZ219" s="86" t="str">
        <f t="shared" si="140"/>
        <v>-0.136108870234774-0.0427045720653946j</v>
      </c>
      <c r="BA219" s="86">
        <f t="shared" si="141"/>
        <v>-16.914504181820337</v>
      </c>
      <c r="BB219" s="86">
        <f t="shared" si="142"/>
        <v>17.419407927811307</v>
      </c>
      <c r="BD219" s="86" t="str">
        <f t="shared" si="143"/>
        <v>-0.143126446589064-0.0693864041049953j</v>
      </c>
      <c r="BE219" s="86">
        <f t="shared" si="144"/>
        <v>-15.968854390361392</v>
      </c>
      <c r="BF219" s="86">
        <f t="shared" si="145"/>
        <v>25.863687050354542</v>
      </c>
      <c r="BH219" s="86">
        <f t="shared" si="152"/>
        <v>16.968854390361393</v>
      </c>
      <c r="BI219" s="162">
        <f t="shared" si="153"/>
        <v>-25.863687050354542</v>
      </c>
      <c r="BJ219" s="88"/>
      <c r="BK219" s="88"/>
      <c r="BL219" s="88"/>
      <c r="BM219" s="88"/>
      <c r="BN219" s="42"/>
      <c r="BO219" s="42"/>
      <c r="BP219" s="42"/>
    </row>
    <row r="220" spans="1:68" s="86" customFormat="1">
      <c r="A220" s="86">
        <v>156</v>
      </c>
      <c r="B220" s="86">
        <f t="shared" si="103"/>
        <v>131825.6738556409</v>
      </c>
      <c r="C220" s="86" t="str">
        <f t="shared" si="104"/>
        <v>828285.137078811j</v>
      </c>
      <c r="D220" s="86">
        <f t="shared" si="105"/>
        <v>0.78605099061257233</v>
      </c>
      <c r="E220" s="86" t="str">
        <f t="shared" si="106"/>
        <v>-0.726565909718255j</v>
      </c>
      <c r="F220" s="86" t="str">
        <f t="shared" si="107"/>
        <v>0.786050990612572-0.726565909718255j</v>
      </c>
      <c r="G220" s="86">
        <f t="shared" si="108"/>
        <v>0.59099031587697348</v>
      </c>
      <c r="H220" s="86">
        <f t="shared" si="109"/>
        <v>-42.74795010973191</v>
      </c>
      <c r="J220" s="86">
        <f t="shared" si="110"/>
        <v>8.3707025411061284</v>
      </c>
      <c r="K220" s="86" t="str">
        <f t="shared" si="111"/>
        <v>1+35.5600558315157j</v>
      </c>
      <c r="L220" s="86">
        <f t="shared" si="112"/>
        <v>-79.128603301144381</v>
      </c>
      <c r="M220" s="86" t="str">
        <f t="shared" si="113"/>
        <v>2.43947925238152j</v>
      </c>
      <c r="N220" s="86" t="str">
        <f t="shared" si="114"/>
        <v>-79.1286033011444+2.43947925238152j</v>
      </c>
      <c r="O220" s="86" t="str">
        <f t="shared" si="115"/>
        <v>0.00121574378376803-0.449358241727802j</v>
      </c>
      <c r="P220" s="86" t="str">
        <f t="shared" si="116"/>
        <v>0.010176629580121-3.76144417589789j</v>
      </c>
      <c r="R220" s="86">
        <f t="shared" si="117"/>
        <v>11.958146487294469</v>
      </c>
      <c r="S220" s="86" t="str">
        <f t="shared" si="118"/>
        <v>1+0.0621213852809108j</v>
      </c>
      <c r="T220" s="86" t="str">
        <f t="shared" si="119"/>
        <v>-79.1286033011444+2.43947925238152j</v>
      </c>
      <c r="U220" s="86" t="str">
        <f t="shared" si="120"/>
        <v>-0.012601475006034-0.00117356326579054j</v>
      </c>
      <c r="V220" s="86" t="str">
        <f t="shared" si="121"/>
        <v>-0.150690284078135-0.014033641444431j</v>
      </c>
      <c r="X220" s="86" t="str">
        <f t="shared" si="122"/>
        <v>-0.112786534118941-0.122684788596746j</v>
      </c>
      <c r="Y220" s="86">
        <f t="shared" si="123"/>
        <v>-15.563872195855703</v>
      </c>
      <c r="Z220" s="86">
        <f t="shared" si="124"/>
        <v>47.407063888795932</v>
      </c>
      <c r="AB220" s="86" t="str">
        <f t="shared" si="125"/>
        <v>-0.070080293034051-0.00652651039034858j</v>
      </c>
      <c r="AC220" s="86">
        <f t="shared" si="126"/>
        <v>-23.050577781297577</v>
      </c>
      <c r="AD220" s="86">
        <f t="shared" si="127"/>
        <v>5.3205545824466185</v>
      </c>
      <c r="AF220" s="86" t="str">
        <f t="shared" si="128"/>
        <v>-0.0765090131388111-0.0179359343664004j</v>
      </c>
      <c r="AG220" s="86">
        <f t="shared" si="129"/>
        <v>-22.093400521504314</v>
      </c>
      <c r="AH220" s="86">
        <f t="shared" si="130"/>
        <v>13.193545618578696</v>
      </c>
      <c r="AJ220" s="86" t="str">
        <f t="shared" si="131"/>
        <v>5929.39991562418-24236.9389111153j</v>
      </c>
      <c r="AK220" s="86" t="str">
        <f t="shared" si="132"/>
        <v>20000-0.000331314054831524j</v>
      </c>
      <c r="AL220" s="86" t="str">
        <f t="shared" si="146"/>
        <v>10000-26829.1935076795j</v>
      </c>
      <c r="AM220" s="86" t="str">
        <f t="shared" si="147"/>
        <v>903.442560112972-8558.53496454583j</v>
      </c>
      <c r="AN220" s="86" t="str">
        <f t="shared" si="148"/>
        <v>10903.442560113-8558.53496454583j</v>
      </c>
      <c r="AO220" s="86" t="str">
        <f t="shared" si="149"/>
        <v>7978.48653755538-3329.29071135152j</v>
      </c>
      <c r="AP220" s="86" t="str">
        <f t="shared" si="150"/>
        <v>0.411655211946771+0.384785689677965j</v>
      </c>
      <c r="AQ220" s="86" t="str">
        <f t="shared" si="133"/>
        <v>1+25.3455251946116j</v>
      </c>
      <c r="AR220" s="86">
        <f t="shared" si="134"/>
        <v>-1.099332181015335E-7</v>
      </c>
      <c r="AS220" s="86" t="str">
        <f t="shared" si="135"/>
        <v>0.000996484999865405j</v>
      </c>
      <c r="AT220" s="86" t="str">
        <f t="shared" si="136"/>
        <v>-1.09933218101534E-07+0.000996484999865405j</v>
      </c>
      <c r="AU220" s="86" t="str">
        <f t="shared" si="137"/>
        <v>3.81522269305105-0.15095000901041j</v>
      </c>
      <c r="AW220" s="86" t="str">
        <f t="shared" si="151"/>
        <v>1.85115773687727+0.344405190322513j</v>
      </c>
      <c r="AX220" s="86">
        <f t="shared" si="138"/>
        <v>5.4966522834918417</v>
      </c>
      <c r="AY220" s="86">
        <f t="shared" si="139"/>
        <v>-169.46070405999825</v>
      </c>
      <c r="AZ220" s="86" t="str">
        <f t="shared" si="140"/>
        <v>-0.12748191259948-0.0362176168641535j</v>
      </c>
      <c r="BA220" s="86">
        <f t="shared" si="141"/>
        <v>-17.553925497805725</v>
      </c>
      <c r="BB220" s="86">
        <f t="shared" si="142"/>
        <v>15.85985052244834</v>
      </c>
      <c r="BD220" s="86" t="str">
        <f t="shared" si="143"/>
        <v>-0.135453022723683-0.0595523449019449j</v>
      </c>
      <c r="BE220" s="86">
        <f t="shared" si="144"/>
        <v>-16.596748238012452</v>
      </c>
      <c r="BF220" s="86">
        <f t="shared" si="145"/>
        <v>23.732841558580361</v>
      </c>
      <c r="BH220" s="86">
        <f t="shared" si="152"/>
        <v>17.596748238012452</v>
      </c>
      <c r="BI220" s="162">
        <f t="shared" si="153"/>
        <v>-23.732841558580361</v>
      </c>
      <c r="BJ220" s="88"/>
      <c r="BK220" s="88"/>
      <c r="BL220" s="88"/>
      <c r="BM220" s="88"/>
      <c r="BN220" s="42"/>
      <c r="BO220" s="42"/>
      <c r="BP220" s="42"/>
    </row>
    <row r="221" spans="1:68" s="86" customFormat="1">
      <c r="A221" s="86">
        <v>157</v>
      </c>
      <c r="B221" s="86">
        <f t="shared" si="103"/>
        <v>138038.42646028864</v>
      </c>
      <c r="C221" s="86" t="str">
        <f t="shared" si="104"/>
        <v>867321.012961475j</v>
      </c>
      <c r="D221" s="86">
        <f t="shared" si="105"/>
        <v>0.7654095761202524</v>
      </c>
      <c r="E221" s="86" t="str">
        <f t="shared" si="106"/>
        <v>-0.760807906106557j</v>
      </c>
      <c r="F221" s="86" t="str">
        <f t="shared" si="107"/>
        <v>0.765409576120252-0.760807906106557j</v>
      </c>
      <c r="G221" s="86">
        <f t="shared" si="108"/>
        <v>0.66206800208044492</v>
      </c>
      <c r="H221" s="86">
        <f t="shared" si="109"/>
        <v>-44.827249081713532</v>
      </c>
      <c r="J221" s="86">
        <f t="shared" si="110"/>
        <v>8.3707025411061284</v>
      </c>
      <c r="K221" s="86" t="str">
        <f t="shared" si="111"/>
        <v>1+37.2359496314639j</v>
      </c>
      <c r="L221" s="86">
        <f t="shared" si="112"/>
        <v>-86.859266407111463</v>
      </c>
      <c r="M221" s="86" t="str">
        <f t="shared" si="113"/>
        <v>2.55444836754655j</v>
      </c>
      <c r="N221" s="86" t="str">
        <f t="shared" si="114"/>
        <v>-86.8592664071115+2.55444836754655j</v>
      </c>
      <c r="O221" s="86" t="str">
        <f t="shared" si="115"/>
        <v>0.00109362754663338-0.428660723909985j</v>
      </c>
      <c r="P221" s="86" t="str">
        <f t="shared" si="116"/>
        <v>0.0091544308836277-3.5881914109057j</v>
      </c>
      <c r="R221" s="86">
        <f t="shared" si="117"/>
        <v>11.958146487294469</v>
      </c>
      <c r="S221" s="86" t="str">
        <f t="shared" si="118"/>
        <v>1+0.0650490759721106j</v>
      </c>
      <c r="T221" s="86" t="str">
        <f t="shared" si="119"/>
        <v>-86.8592664071115+2.55444836754655j</v>
      </c>
      <c r="U221" s="86" t="str">
        <f t="shared" si="120"/>
        <v>-0.0114809221655834-0.00108654496819682j</v>
      </c>
      <c r="V221" s="86" t="str">
        <f t="shared" si="121"/>
        <v>-0.137290549065272-0.0129930638947303j</v>
      </c>
      <c r="X221" s="86" t="str">
        <f t="shared" si="122"/>
        <v>-0.112702914765339-0.113964634815164j</v>
      </c>
      <c r="Y221" s="86">
        <f t="shared" si="123"/>
        <v>-15.902378400864556</v>
      </c>
      <c r="Z221" s="86">
        <f t="shared" si="124"/>
        <v>45.318927377513546</v>
      </c>
      <c r="AB221" s="86" t="str">
        <f t="shared" si="125"/>
        <v>-0.0638485883025558-0.00604257753393517j</v>
      </c>
      <c r="AC221" s="86">
        <f t="shared" si="126"/>
        <v>-23.858249272542675</v>
      </c>
      <c r="AD221" s="86">
        <f t="shared" si="127"/>
        <v>5.4063227983507716</v>
      </c>
      <c r="AF221" s="86" t="str">
        <f t="shared" si="128"/>
        <v>-0.0699302026246501-0.0157919458677114j</v>
      </c>
      <c r="AG221" s="86">
        <f t="shared" si="129"/>
        <v>-22.890690915215632</v>
      </c>
      <c r="AH221" s="86">
        <f t="shared" si="130"/>
        <v>12.725334015627141</v>
      </c>
      <c r="AJ221" s="86" t="str">
        <f t="shared" si="131"/>
        <v>5434.68077997316-23261.6793614943j</v>
      </c>
      <c r="AK221" s="86" t="str">
        <f t="shared" si="132"/>
        <v>20000-0.00034692840518459j</v>
      </c>
      <c r="AL221" s="86" t="str">
        <f t="shared" si="146"/>
        <v>10000-25621.6808887683j</v>
      </c>
      <c r="AM221" s="86" t="str">
        <f t="shared" si="147"/>
        <v>898.072233167619-8193.28897481953j</v>
      </c>
      <c r="AN221" s="86" t="str">
        <f t="shared" si="148"/>
        <v>10898.0722331676-8193.28897481953j</v>
      </c>
      <c r="AO221" s="86" t="str">
        <f t="shared" si="149"/>
        <v>7904.70079504855-3207.32898524257j</v>
      </c>
      <c r="AP221" s="86" t="str">
        <f t="shared" si="150"/>
        <v>0.42818293122976+0.391601292035652j</v>
      </c>
      <c r="AQ221" s="86" t="str">
        <f t="shared" si="133"/>
        <v>1+26.5400229966211j</v>
      </c>
      <c r="AR221" s="86">
        <f t="shared" si="134"/>
        <v>-1.3018719629450284E-7</v>
      </c>
      <c r="AS221" s="86" t="str">
        <f t="shared" si="135"/>
        <v>0.00104344789106356j</v>
      </c>
      <c r="AT221" s="86" t="str">
        <f t="shared" si="136"/>
        <v>-1.30187196294503E-07+0.00104344789106356j</v>
      </c>
      <c r="AU221" s="86" t="str">
        <f t="shared" si="137"/>
        <v>3.81522135092986-0.144230195163386j</v>
      </c>
      <c r="AW221" s="86" t="str">
        <f t="shared" si="151"/>
        <v>1.89457192923353+0.294085849208146j</v>
      </c>
      <c r="AX221" s="86">
        <f t="shared" si="138"/>
        <v>5.6536242190566401</v>
      </c>
      <c r="AY221" s="86">
        <f t="shared" si="139"/>
        <v>-171.176651133441</v>
      </c>
      <c r="AZ221" s="86" t="str">
        <f t="shared" si="140"/>
        <v>-0.119188706573737-0.0302250640877092j</v>
      </c>
      <c r="BA221" s="86">
        <f t="shared" si="141"/>
        <v>-18.204625053486044</v>
      </c>
      <c r="BB221" s="86">
        <f t="shared" si="142"/>
        <v>14.22967166490983</v>
      </c>
      <c r="BD221" s="86" t="str">
        <f t="shared" si="143"/>
        <v>-0.12784361108712-0.0504844603731093j</v>
      </c>
      <c r="BE221" s="86">
        <f t="shared" si="144"/>
        <v>-17.237066696158998</v>
      </c>
      <c r="BF221" s="86">
        <f t="shared" si="145"/>
        <v>21.548682882186142</v>
      </c>
      <c r="BH221" s="86">
        <f t="shared" si="152"/>
        <v>18.237066696158998</v>
      </c>
      <c r="BI221" s="162">
        <f t="shared" si="153"/>
        <v>-21.548682882186142</v>
      </c>
      <c r="BJ221" s="88"/>
      <c r="BK221" s="88"/>
      <c r="BL221" s="88"/>
      <c r="BM221" s="88"/>
      <c r="BN221" s="42"/>
      <c r="BO221" s="42"/>
      <c r="BP221" s="42"/>
    </row>
    <row r="222" spans="1:68" s="86" customFormat="1">
      <c r="A222" s="86">
        <v>158</v>
      </c>
      <c r="B222" s="86">
        <f t="shared" si="103"/>
        <v>144543.9770745929</v>
      </c>
      <c r="C222" s="86" t="str">
        <f t="shared" si="104"/>
        <v>908196.592996385j</v>
      </c>
      <c r="D222" s="86">
        <f t="shared" si="105"/>
        <v>0.74277671519186916</v>
      </c>
      <c r="E222" s="86" t="str">
        <f t="shared" si="106"/>
        <v>-0.796663678067004j</v>
      </c>
      <c r="F222" s="86" t="str">
        <f t="shared" si="107"/>
        <v>0.742776715191869-0.796663678067004j</v>
      </c>
      <c r="G222" s="86">
        <f t="shared" si="108"/>
        <v>0.74227574251394479</v>
      </c>
      <c r="H222" s="86">
        <f t="shared" si="109"/>
        <v>-47.004777482432274</v>
      </c>
      <c r="J222" s="86">
        <f t="shared" si="110"/>
        <v>8.3707025411061284</v>
      </c>
      <c r="K222" s="86" t="str">
        <f t="shared" si="111"/>
        <v>1+38.9908258728912j</v>
      </c>
      <c r="L222" s="86">
        <f t="shared" si="112"/>
        <v>-95.335769944533126</v>
      </c>
      <c r="M222" s="86" t="str">
        <f t="shared" si="113"/>
        <v>2.67483581018001j</v>
      </c>
      <c r="N222" s="86" t="str">
        <f t="shared" si="114"/>
        <v>-95.3357699445331+2.67483581018001j</v>
      </c>
      <c r="O222" s="86" t="str">
        <f t="shared" si="115"/>
        <v>0.000984853183516677-0.408956591791431j</v>
      </c>
      <c r="P222" s="86" t="str">
        <f t="shared" si="116"/>
        <v>0.00824391304587951-3.42325398211063j</v>
      </c>
      <c r="R222" s="86">
        <f t="shared" si="117"/>
        <v>11.958146487294469</v>
      </c>
      <c r="S222" s="86" t="str">
        <f t="shared" si="118"/>
        <v>1+0.0681147444747289j</v>
      </c>
      <c r="T222" s="86" t="str">
        <f t="shared" si="119"/>
        <v>-95.3357699445331+2.67483581018001j</v>
      </c>
      <c r="U222" s="86" t="str">
        <f t="shared" si="120"/>
        <v>-0.0104609616328643-0.00100797527848302j</v>
      </c>
      <c r="V222" s="86" t="str">
        <f t="shared" si="121"/>
        <v>-0.125093711603758-0.0120535160356714j</v>
      </c>
      <c r="X222" s="86" t="str">
        <f t="shared" si="122"/>
        <v>-0.112625978797291-0.105516012079526j</v>
      </c>
      <c r="Y222" s="86">
        <f t="shared" si="123"/>
        <v>-16.230903346960478</v>
      </c>
      <c r="Z222" s="86">
        <f t="shared" si="124"/>
        <v>43.133202496138665</v>
      </c>
      <c r="AB222" s="86" t="str">
        <f t="shared" si="125"/>
        <v>-0.0581763052577618-0.00560562972615068j</v>
      </c>
      <c r="AC222" s="86">
        <f t="shared" si="126"/>
        <v>-24.664941425174259</v>
      </c>
      <c r="AD222" s="86">
        <f t="shared" si="127"/>
        <v>5.5037946020657387</v>
      </c>
      <c r="AF222" s="86" t="str">
        <f t="shared" si="128"/>
        <v>-0.063905350591233-0.0139159668595489j</v>
      </c>
      <c r="AG222" s="86">
        <f t="shared" si="129"/>
        <v>-23.688051116419949</v>
      </c>
      <c r="AH222" s="86">
        <f t="shared" si="130"/>
        <v>12.284890292225242</v>
      </c>
      <c r="AJ222" s="86" t="str">
        <f t="shared" si="131"/>
        <v>4979.16398323784-22316.364942974j</v>
      </c>
      <c r="AK222" s="86" t="str">
        <f t="shared" si="132"/>
        <v>20000-0.000363278637198554j</v>
      </c>
      <c r="AL222" s="86" t="str">
        <f t="shared" si="146"/>
        <v>10000-24468.5152901809j</v>
      </c>
      <c r="AM222" s="86" t="str">
        <f t="shared" si="147"/>
        <v>892.256693862327-7845.16337988359j</v>
      </c>
      <c r="AN222" s="86" t="str">
        <f t="shared" si="148"/>
        <v>10892.2566938623-7845.16337988359j</v>
      </c>
      <c r="AO222" s="86" t="str">
        <f t="shared" si="149"/>
        <v>7836.23490350704-3089.01763158208j</v>
      </c>
      <c r="AP222" s="86" t="str">
        <f t="shared" si="150"/>
        <v>0.4452698130658+0.397803683566537j</v>
      </c>
      <c r="AQ222" s="86" t="str">
        <f t="shared" si="133"/>
        <v>1+27.7908157456894j</v>
      </c>
      <c r="AR222" s="86">
        <f t="shared" si="134"/>
        <v>-1.5239524176825376E-7</v>
      </c>
      <c r="AS222" s="86" t="str">
        <f t="shared" si="135"/>
        <v>0.00109262407513616j</v>
      </c>
      <c r="AT222" s="86" t="str">
        <f t="shared" si="136"/>
        <v>-1.52395241768254E-07+0.00109262407513616j</v>
      </c>
      <c r="AU222" s="86" t="str">
        <f t="shared" si="137"/>
        <v>3.81522012388717-0.137816312874502j</v>
      </c>
      <c r="AW222" s="86" t="str">
        <f t="shared" si="151"/>
        <v>1.93463612731755+0.238536646557063j</v>
      </c>
      <c r="AX222" s="86">
        <f t="shared" si="138"/>
        <v>5.7975121496997559</v>
      </c>
      <c r="AY222" s="86">
        <f t="shared" si="139"/>
        <v>-172.97102428937708</v>
      </c>
      <c r="AZ222" s="86" t="str">
        <f t="shared" si="140"/>
        <v>-0.111212833788803-0.0247220345498428j</v>
      </c>
      <c r="BA222" s="86">
        <f t="shared" si="141"/>
        <v>-18.867429275474528</v>
      </c>
      <c r="BB222" s="86">
        <f t="shared" si="142"/>
        <v>12.532770312688712</v>
      </c>
      <c r="BD222" s="86" t="str">
        <f t="shared" si="143"/>
        <v>-0.120314131914417-0.0421661002601232j</v>
      </c>
      <c r="BE222" s="86">
        <f t="shared" si="144"/>
        <v>-17.890538966720211</v>
      </c>
      <c r="BF222" s="86">
        <f t="shared" si="145"/>
        <v>19.313866002848215</v>
      </c>
      <c r="BH222" s="86">
        <f t="shared" si="152"/>
        <v>18.890538966720211</v>
      </c>
      <c r="BI222" s="162">
        <f t="shared" si="153"/>
        <v>-19.313866002848215</v>
      </c>
      <c r="BJ222" s="88"/>
      <c r="BK222" s="88"/>
      <c r="BL222" s="88"/>
      <c r="BM222" s="88"/>
      <c r="BN222" s="42"/>
      <c r="BO222" s="42"/>
      <c r="BP222" s="42"/>
    </row>
    <row r="223" spans="1:68" s="86" customFormat="1">
      <c r="A223" s="86">
        <v>159</v>
      </c>
      <c r="B223" s="86">
        <f t="shared" si="103"/>
        <v>151356.12484362093</v>
      </c>
      <c r="C223" s="86" t="str">
        <f t="shared" si="104"/>
        <v>950998.579769078j</v>
      </c>
      <c r="D223" s="86">
        <f t="shared" si="105"/>
        <v>0.71796027666755624</v>
      </c>
      <c r="E223" s="86" t="str">
        <f t="shared" si="106"/>
        <v>-0.834209280499191j</v>
      </c>
      <c r="F223" s="86" t="str">
        <f t="shared" si="107"/>
        <v>0.717960276667556-0.834209280499191j</v>
      </c>
      <c r="G223" s="86">
        <f t="shared" si="108"/>
        <v>0.83277560629080594</v>
      </c>
      <c r="H223" s="86">
        <f t="shared" si="109"/>
        <v>-49.283143890607107</v>
      </c>
      <c r="J223" s="86">
        <f t="shared" si="110"/>
        <v>8.3707025411061284</v>
      </c>
      <c r="K223" s="86" t="str">
        <f t="shared" si="111"/>
        <v>1+40.828406883586j</v>
      </c>
      <c r="L223" s="86">
        <f t="shared" si="112"/>
        <v>-104.63007125284646</v>
      </c>
      <c r="M223" s="86" t="str">
        <f t="shared" si="113"/>
        <v>2.80089693818834j</v>
      </c>
      <c r="N223" s="86" t="str">
        <f t="shared" si="114"/>
        <v>-104.630071252846+2.80089693818834j</v>
      </c>
      <c r="O223" s="86" t="str">
        <f t="shared" si="115"/>
        <v>0.000887797813773744-0.390192989114467j</v>
      </c>
      <c r="P223" s="86" t="str">
        <f t="shared" si="116"/>
        <v>0.00743149141574434-3.26618944550226j</v>
      </c>
      <c r="R223" s="86">
        <f t="shared" si="117"/>
        <v>11.958146487294469</v>
      </c>
      <c r="S223" s="86" t="str">
        <f t="shared" si="118"/>
        <v>1+0.0713248934826808j</v>
      </c>
      <c r="T223" s="86" t="str">
        <f t="shared" si="119"/>
        <v>-104.630071252846+2.80089693818834j</v>
      </c>
      <c r="U223" s="86" t="str">
        <f t="shared" si="120"/>
        <v>-0.00953240237659724-0.000936864220191429j</v>
      </c>
      <c r="V223" s="86" t="str">
        <f t="shared" si="121"/>
        <v>-0.113989863995184-0.011203159583754j</v>
      </c>
      <c r="X223" s="86" t="str">
        <f t="shared" si="122"/>
        <v>-0.112555255264429-0.0973170807968892j</v>
      </c>
      <c r="Y223" s="86">
        <f t="shared" si="123"/>
        <v>-16.5483612059205</v>
      </c>
      <c r="Z223" s="86">
        <f t="shared" si="124"/>
        <v>40.84721975361964</v>
      </c>
      <c r="AB223" s="86" t="str">
        <f t="shared" si="125"/>
        <v>-0.053012330028869-0.00521016143369682j</v>
      </c>
      <c r="AC223" s="86">
        <f t="shared" si="126"/>
        <v>-25.470713361234139</v>
      </c>
      <c r="AD223" s="86">
        <f t="shared" si="127"/>
        <v>5.6131209657137333</v>
      </c>
      <c r="AF223" s="86" t="str">
        <f t="shared" si="128"/>
        <v>-0.0583899560734216-0.0122740053070757j</v>
      </c>
      <c r="AG223" s="86">
        <f t="shared" si="129"/>
        <v>-24.4854534478857</v>
      </c>
      <c r="AH223" s="86">
        <f t="shared" si="130"/>
        <v>11.871164064690333</v>
      </c>
      <c r="AJ223" s="86" t="str">
        <f t="shared" si="131"/>
        <v>4560.07844921803-21401.2598158349j</v>
      </c>
      <c r="AK223" s="86" t="str">
        <f t="shared" si="132"/>
        <v>20000-0.000380399431907632j</v>
      </c>
      <c r="AL223" s="86" t="str">
        <f t="shared" si="146"/>
        <v>10000-23367.2506930749j</v>
      </c>
      <c r="AM223" s="86" t="str">
        <f t="shared" si="147"/>
        <v>885.96603982119-7513.38718096609j</v>
      </c>
      <c r="AN223" s="86" t="str">
        <f t="shared" si="148"/>
        <v>10885.9660398212-7513.38718096609j</v>
      </c>
      <c r="AO223" s="86" t="str">
        <f t="shared" si="149"/>
        <v>7772.70266377678-2974.43894517265j</v>
      </c>
      <c r="AP223" s="86" t="str">
        <f t="shared" si="150"/>
        <v>0.462868737649651+0.403336411617149j</v>
      </c>
      <c r="AQ223" s="86" t="str">
        <f t="shared" si="133"/>
        <v>1+29.1005565409338j</v>
      </c>
      <c r="AR223" s="86">
        <f t="shared" si="134"/>
        <v>-1.7674587940917771E-7</v>
      </c>
      <c r="AS223" s="86" t="str">
        <f t="shared" si="135"/>
        <v>0.00114411786136278j</v>
      </c>
      <c r="AT223" s="86" t="str">
        <f t="shared" si="136"/>
        <v>-1.76745879409178E-07+0.00114411786136278j</v>
      </c>
      <c r="AU223" s="86" t="str">
        <f t="shared" si="137"/>
        <v>3.81521900150658-0.131694757442287j</v>
      </c>
      <c r="AW223" s="86" t="str">
        <f t="shared" si="151"/>
        <v>1.97067961910684+0.177970067557032j</v>
      </c>
      <c r="AX223" s="86">
        <f t="shared" si="138"/>
        <v>5.9275966529743975</v>
      </c>
      <c r="AY223" s="86">
        <f t="shared" si="139"/>
        <v>-174.83967488525022</v>
      </c>
      <c r="AZ223" s="86" t="str">
        <f t="shared" si="140"/>
        <v>-0.10354306556692-0.0197021669062363j</v>
      </c>
      <c r="BA223" s="86">
        <f t="shared" si="141"/>
        <v>-19.543116708259713</v>
      </c>
      <c r="BB223" s="86">
        <f t="shared" si="142"/>
        <v>10.773446080463486</v>
      </c>
      <c r="BD223" s="86" t="str">
        <f t="shared" si="143"/>
        <v>-0.11288349084074-0.0345797965305022j</v>
      </c>
      <c r="BE223" s="86">
        <f t="shared" si="144"/>
        <v>-18.557856794911302</v>
      </c>
      <c r="BF223" s="86">
        <f t="shared" si="145"/>
        <v>17.031489179440086</v>
      </c>
      <c r="BH223" s="86">
        <f t="shared" si="152"/>
        <v>19.557856794911302</v>
      </c>
      <c r="BI223" s="162">
        <f t="shared" si="153"/>
        <v>-17.031489179440086</v>
      </c>
      <c r="BJ223" s="88"/>
      <c r="BK223" s="88"/>
      <c r="BL223" s="88"/>
      <c r="BM223" s="88"/>
      <c r="BN223" s="42"/>
      <c r="BO223" s="42"/>
      <c r="BP223" s="42"/>
    </row>
    <row r="224" spans="1:68" s="86" customFormat="1">
      <c r="A224" s="86">
        <v>160</v>
      </c>
      <c r="B224" s="86">
        <f t="shared" si="103"/>
        <v>158489.31924611155</v>
      </c>
      <c r="C224" s="86" t="str">
        <f t="shared" si="104"/>
        <v>995817.762032063j</v>
      </c>
      <c r="D224" s="86">
        <f t="shared" si="105"/>
        <v>0.6907495929197186</v>
      </c>
      <c r="E224" s="86" t="str">
        <f t="shared" si="106"/>
        <v>-0.873524352659704j</v>
      </c>
      <c r="F224" s="86" t="str">
        <f t="shared" si="107"/>
        <v>0.690749592919719-0.873524352659704j</v>
      </c>
      <c r="G224" s="86">
        <f t="shared" si="108"/>
        <v>0.9348465147897167</v>
      </c>
      <c r="H224" s="86">
        <f t="shared" si="109"/>
        <v>-51.664403139221456</v>
      </c>
      <c r="J224" s="86">
        <f t="shared" si="110"/>
        <v>8.3707025411061284</v>
      </c>
      <c r="K224" s="86" t="str">
        <f t="shared" si="111"/>
        <v>1+42.7525904192408j</v>
      </c>
      <c r="L224" s="86">
        <f t="shared" si="112"/>
        <v>-114.82106998579738</v>
      </c>
      <c r="M224" s="86" t="str">
        <f t="shared" si="113"/>
        <v>2.93289914412537j</v>
      </c>
      <c r="N224" s="86" t="str">
        <f t="shared" si="114"/>
        <v>-114.821069985797+2.93289914412537j</v>
      </c>
      <c r="O224" s="86" t="str">
        <f t="shared" si="115"/>
        <v>0.000801059835290092-0.372320524419634j</v>
      </c>
      <c r="P224" s="86" t="str">
        <f t="shared" si="116"/>
        <v>0.00670543359884083-3.1165843598654j</v>
      </c>
      <c r="R224" s="86">
        <f t="shared" si="117"/>
        <v>11.958146487294469</v>
      </c>
      <c r="S224" s="86" t="str">
        <f t="shared" si="118"/>
        <v>1+0.0746863321524047j</v>
      </c>
      <c r="T224" s="86" t="str">
        <f t="shared" si="119"/>
        <v>-114.821069985797+2.93289914412537j</v>
      </c>
      <c r="U224" s="86" t="str">
        <f t="shared" si="120"/>
        <v>-0.00868692030752723-0.000872350286404983j</v>
      </c>
      <c r="V224" s="86" t="str">
        <f t="shared" si="121"/>
        <v>-0.103879465560864-0.0104316925130641j</v>
      </c>
      <c r="X224" s="86" t="str">
        <f t="shared" si="122"/>
        <v>-0.112490294045593-0.0893470521167271j</v>
      </c>
      <c r="Y224" s="86">
        <f t="shared" si="123"/>
        <v>-16.853542360172543</v>
      </c>
      <c r="Z224" s="86">
        <f t="shared" si="124"/>
        <v>38.458870421778755</v>
      </c>
      <c r="AB224" s="86" t="str">
        <f t="shared" si="125"/>
        <v>-0.0483103700498118-0.00485138157797609j</v>
      </c>
      <c r="AC224" s="86">
        <f t="shared" si="126"/>
        <v>-26.275616071682187</v>
      </c>
      <c r="AD224" s="86">
        <f t="shared" si="127"/>
        <v>5.7344817728244379</v>
      </c>
      <c r="AF224" s="86" t="str">
        <f t="shared" si="128"/>
        <v>-0.0533427080682116-0.0108363832319463j</v>
      </c>
      <c r="AG224" s="86">
        <f t="shared" si="129"/>
        <v>-25.2828715336512</v>
      </c>
      <c r="AH224" s="86">
        <f t="shared" si="130"/>
        <v>11.483173145927424</v>
      </c>
      <c r="AJ224" s="86" t="str">
        <f t="shared" si="131"/>
        <v>4174.79415367418-20516.4441341631j</v>
      </c>
      <c r="AK224" s="86" t="str">
        <f t="shared" si="132"/>
        <v>20000-0.000398327104812826j</v>
      </c>
      <c r="AL224" s="86" t="str">
        <f t="shared" si="146"/>
        <v>10000-22315.5511675908j</v>
      </c>
      <c r="AM224" s="86" t="str">
        <f t="shared" si="147"/>
        <v>879.169643893186-7197.22052528865j</v>
      </c>
      <c r="AN224" s="86" t="str">
        <f t="shared" si="148"/>
        <v>10879.1696438932-7197.22052528865j</v>
      </c>
      <c r="AO224" s="86" t="str">
        <f t="shared" si="149"/>
        <v>7713.73313990863-2863.64479049358j</v>
      </c>
      <c r="AP224" s="86" t="str">
        <f t="shared" si="150"/>
        <v>0.48092526460929+0.408147265063804j</v>
      </c>
      <c r="AQ224" s="86" t="str">
        <f t="shared" si="133"/>
        <v>1+30.4720235181811j</v>
      </c>
      <c r="AR224" s="86">
        <f t="shared" si="134"/>
        <v>-2.0344582264463508E-7</v>
      </c>
      <c r="AS224" s="86" t="str">
        <f t="shared" si="135"/>
        <v>0.00119803847496791j</v>
      </c>
      <c r="AT224" s="86" t="str">
        <f t="shared" si="136"/>
        <v>-2.03445822644635E-07+0.00119803847496791j</v>
      </c>
      <c r="AU224" s="86" t="str">
        <f t="shared" si="137"/>
        <v>3.81521797426014-0.125852544229333j</v>
      </c>
      <c r="AW224" s="86" t="str">
        <f t="shared" si="151"/>
        <v>2.00204201035768+0.11269921319561j</v>
      </c>
      <c r="AX224" s="86">
        <f t="shared" si="138"/>
        <v>6.0432039103344479</v>
      </c>
      <c r="AY224" s="86">
        <f t="shared" si="139"/>
        <v>-176.77809873470804</v>
      </c>
      <c r="AZ224" s="86" t="str">
        <f t="shared" si="140"/>
        <v>-0.096172643488899-0.015157210421186j</v>
      </c>
      <c r="BA224" s="86">
        <f t="shared" si="141"/>
        <v>-20.232412161347746</v>
      </c>
      <c r="BB224" s="86">
        <f t="shared" si="142"/>
        <v>8.9563830381163996</v>
      </c>
      <c r="BD224" s="86" t="str">
        <f t="shared" si="143"/>
        <v>-0.105573090634679-0.0277065756997026j</v>
      </c>
      <c r="BE224" s="86">
        <f t="shared" si="144"/>
        <v>-19.239667623316731</v>
      </c>
      <c r="BF224" s="86">
        <f t="shared" si="145"/>
        <v>14.705074411219385</v>
      </c>
      <c r="BH224" s="86">
        <f t="shared" si="152"/>
        <v>20.239667623316731</v>
      </c>
      <c r="BI224" s="162">
        <f t="shared" si="153"/>
        <v>-14.705074411219385</v>
      </c>
      <c r="BJ224" s="88"/>
      <c r="BK224" s="88"/>
      <c r="BL224" s="88"/>
      <c r="BM224" s="88"/>
      <c r="BN224" s="42"/>
      <c r="BO224" s="42"/>
      <c r="BP224" s="42"/>
    </row>
    <row r="225" spans="1:68" s="86" customFormat="1">
      <c r="A225" s="86">
        <v>161</v>
      </c>
      <c r="B225" s="86">
        <f t="shared" si="103"/>
        <v>165958.69074375625</v>
      </c>
      <c r="C225" s="86" t="str">
        <f t="shared" si="104"/>
        <v>1042749.20727993j</v>
      </c>
      <c r="D225" s="86">
        <f t="shared" si="105"/>
        <v>0.66091367148806812</v>
      </c>
      <c r="E225" s="86" t="str">
        <f t="shared" si="106"/>
        <v>-0.914692287087658j</v>
      </c>
      <c r="F225" s="86" t="str">
        <f t="shared" si="107"/>
        <v>0.660913671488068-0.914692287087658j</v>
      </c>
      <c r="G225" s="86">
        <f t="shared" si="108"/>
        <v>1.0498833008742083</v>
      </c>
      <c r="H225" s="86">
        <f t="shared" si="109"/>
        <v>-54.149892986439646</v>
      </c>
      <c r="J225" s="86">
        <f t="shared" si="110"/>
        <v>8.3707025411061284</v>
      </c>
      <c r="K225" s="86" t="str">
        <f t="shared" si="111"/>
        <v>1+44.7674579311144j</v>
      </c>
      <c r="L225" s="86">
        <f t="shared" si="112"/>
        <v>-125.9952778934004</v>
      </c>
      <c r="M225" s="86" t="str">
        <f t="shared" si="113"/>
        <v>3.07112242236773j</v>
      </c>
      <c r="N225" s="86" t="str">
        <f t="shared" si="114"/>
        <v>-125.9952778934+3.07112242236773j</v>
      </c>
      <c r="O225" s="86" t="str">
        <f t="shared" si="115"/>
        <v>0.000723425522214877-0.355292967730477j</v>
      </c>
      <c r="P225" s="86" t="str">
        <f t="shared" si="116"/>
        <v>0.0060555798571051-2.97405174781864j</v>
      </c>
      <c r="R225" s="86">
        <f t="shared" si="117"/>
        <v>11.958146487294469</v>
      </c>
      <c r="S225" s="86" t="str">
        <f t="shared" si="118"/>
        <v>1+0.0782061905459947j</v>
      </c>
      <c r="T225" s="86" t="str">
        <f t="shared" si="119"/>
        <v>-125.9952778934+3.07112242236773j</v>
      </c>
      <c r="U225" s="86" t="str">
        <f t="shared" si="120"/>
        <v>-0.00791697194868841-0.000813682721519188j</v>
      </c>
      <c r="V225" s="86" t="str">
        <f t="shared" si="121"/>
        <v>-0.0946723102982171-0.00973013717810688j</v>
      </c>
      <c r="X225" s="86" t="str">
        <f t="shared" si="122"/>
        <v>-0.112430667707072-0.0815860733646707j</v>
      </c>
      <c r="Y225" s="86">
        <f t="shared" si="123"/>
        <v>-17.145114993070727</v>
      </c>
      <c r="Z225" s="86">
        <f t="shared" si="124"/>
        <v>35.966768967775096</v>
      </c>
      <c r="AB225" s="86" t="str">
        <f t="shared" si="125"/>
        <v>-0.0440284739556898-0.00452511499911749j</v>
      </c>
      <c r="AC225" s="86">
        <f t="shared" si="126"/>
        <v>-27.079692918547678</v>
      </c>
      <c r="AD225" s="86">
        <f t="shared" si="127"/>
        <v>5.8680851521043564</v>
      </c>
      <c r="AF225" s="86" t="str">
        <f t="shared" si="128"/>
        <v>-0.0487253296876961-0.00957719359204966j</v>
      </c>
      <c r="AG225" s="86">
        <f t="shared" si="129"/>
        <v>-26.080279930702478</v>
      </c>
      <c r="AH225" s="86">
        <f t="shared" si="130"/>
        <v>11.119999699214475</v>
      </c>
      <c r="AJ225" s="86" t="str">
        <f t="shared" si="131"/>
        <v>3820.82446113083-19661.8378809296j</v>
      </c>
      <c r="AK225" s="86" t="str">
        <f t="shared" si="132"/>
        <v>20000-0.000417099682911972j</v>
      </c>
      <c r="AL225" s="86" t="str">
        <f t="shared" si="146"/>
        <v>10000-21311.1859180312j</v>
      </c>
      <c r="AM225" s="86" t="str">
        <f t="shared" si="147"/>
        <v>871.836392232633-6895.95288359263j</v>
      </c>
      <c r="AN225" s="86" t="str">
        <f t="shared" si="148"/>
        <v>10871.8363922326-6895.95288359263j</v>
      </c>
      <c r="AO225" s="86" t="str">
        <f t="shared" si="149"/>
        <v>7658.97173442134-2756.65981489887j</v>
      </c>
      <c r="AP225" s="86" t="str">
        <f t="shared" si="150"/>
        <v>0.499378121547805+0.412189404878423j</v>
      </c>
      <c r="AQ225" s="86" t="str">
        <f t="shared" si="133"/>
        <v>1+31.9081257427659j</v>
      </c>
      <c r="AR225" s="86">
        <f t="shared" si="134"/>
        <v>-2.3272172824057351E-7</v>
      </c>
      <c r="AS225" s="86" t="str">
        <f t="shared" si="135"/>
        <v>0.00125450028880227j</v>
      </c>
      <c r="AT225" s="86" t="str">
        <f t="shared" si="136"/>
        <v>-2.32721728240574E-07+0.00125450028880227j</v>
      </c>
      <c r="AU225" s="86" t="str">
        <f t="shared" si="137"/>
        <v>3.81521703342751-0.120277281120192j</v>
      </c>
      <c r="AW225" s="86" t="str">
        <f t="shared" si="151"/>
        <v>2.02809072476955+0.0431390796192932j</v>
      </c>
      <c r="AX225" s="86">
        <f t="shared" si="138"/>
        <v>6.1437120818974922</v>
      </c>
      <c r="AY225" s="86">
        <f t="shared" si="139"/>
        <v>-178.78145760605781</v>
      </c>
      <c r="AZ225" s="86" t="str">
        <f t="shared" si="140"/>
        <v>-0.0890985303590587-0.0110766916017162j</v>
      </c>
      <c r="BA225" s="86">
        <f t="shared" si="141"/>
        <v>-20.935980836650188</v>
      </c>
      <c r="BB225" s="86">
        <f t="shared" si="142"/>
        <v>7.0866275460465431</v>
      </c>
      <c r="BD225" s="86" t="str">
        <f t="shared" si="143"/>
        <v>-0.0984062378840579-0.0215253833702321j</v>
      </c>
      <c r="BE225" s="86">
        <f t="shared" si="144"/>
        <v>-19.936567848804994</v>
      </c>
      <c r="BF225" s="86">
        <f t="shared" si="145"/>
        <v>12.338542093156661</v>
      </c>
      <c r="BH225" s="86">
        <f t="shared" si="152"/>
        <v>20.936567848804994</v>
      </c>
      <c r="BI225" s="162">
        <f t="shared" si="153"/>
        <v>-12.338542093156661</v>
      </c>
      <c r="BJ225" s="88"/>
      <c r="BK225" s="88"/>
      <c r="BL225" s="88"/>
      <c r="BM225" s="88"/>
      <c r="BN225" s="42"/>
      <c r="BO225" s="42"/>
      <c r="BP225" s="42"/>
    </row>
    <row r="226" spans="1:68" s="86" customFormat="1">
      <c r="A226" s="86">
        <v>162</v>
      </c>
      <c r="B226" s="86">
        <f t="shared" si="103"/>
        <v>173780.08287493771</v>
      </c>
      <c r="C226" s="86" t="str">
        <f t="shared" si="104"/>
        <v>1091892.46340026j</v>
      </c>
      <c r="D226" s="86">
        <f t="shared" si="105"/>
        <v>0.62819923417641987</v>
      </c>
      <c r="E226" s="86" t="str">
        <f t="shared" si="106"/>
        <v>-0.957800406491456j</v>
      </c>
      <c r="F226" s="86" t="str">
        <f t="shared" si="107"/>
        <v>0.62819923417642-0.957800406491456j</v>
      </c>
      <c r="G226" s="86">
        <f t="shared" si="108"/>
        <v>1.1793909702001768</v>
      </c>
      <c r="H226" s="86">
        <f t="shared" si="109"/>
        <v>-56.740053580597333</v>
      </c>
      <c r="J226" s="86">
        <f t="shared" si="110"/>
        <v>8.3707025411061284</v>
      </c>
      <c r="K226" s="86" t="str">
        <f t="shared" si="111"/>
        <v>1+46.8772832233376j</v>
      </c>
      <c r="L226" s="86">
        <f t="shared" si="112"/>
        <v>-138.24755322325882</v>
      </c>
      <c r="M226" s="86" t="str">
        <f t="shared" si="113"/>
        <v>3.21585996302048j</v>
      </c>
      <c r="N226" s="86" t="str">
        <f t="shared" si="114"/>
        <v>-138.247553223259+3.21585996302048j</v>
      </c>
      <c r="O226" s="86" t="str">
        <f t="shared" si="115"/>
        <v>0.000653841086271944-0.339066981433417j</v>
      </c>
      <c r="P226" s="86" t="str">
        <f t="shared" si="116"/>
        <v>0.00547310924233615-2.83822884308989j</v>
      </c>
      <c r="R226" s="86">
        <f t="shared" si="117"/>
        <v>11.958146487294469</v>
      </c>
      <c r="S226" s="86" t="str">
        <f t="shared" si="118"/>
        <v>1+0.0818919347550195j</v>
      </c>
      <c r="T226" s="86" t="str">
        <f t="shared" si="119"/>
        <v>-138.247553223259+3.21585996302048j</v>
      </c>
      <c r="U226" s="86" t="str">
        <f t="shared" si="120"/>
        <v>-0.00721571745386577-0.000760206377393541j</v>
      </c>
      <c r="V226" s="86" t="str">
        <f t="shared" si="121"/>
        <v>-0.0862866063242543-0.00909065922144743j</v>
      </c>
      <c r="X226" s="86" t="str">
        <f t="shared" si="122"/>
        <v>-0.112375972520821-0.0740151252342834j</v>
      </c>
      <c r="Y226" s="86">
        <f t="shared" si="123"/>
        <v>-17.421631413201442</v>
      </c>
      <c r="Z226" s="86">
        <f t="shared" si="124"/>
        <v>33.370432813926271</v>
      </c>
      <c r="AB226" s="86" t="str">
        <f t="shared" si="125"/>
        <v>-0.0401286034671093-0.00422771823684001j</v>
      </c>
      <c r="AC226" s="86">
        <f t="shared" si="126"/>
        <v>-27.88298006337763</v>
      </c>
      <c r="AD226" s="86">
        <f t="shared" si="127"/>
        <v>6.0141669377804305</v>
      </c>
      <c r="AF226" s="86" t="str">
        <f t="shared" si="128"/>
        <v>-0.0445024144016905-0.00847382425346248j</v>
      </c>
      <c r="AG226" s="86">
        <f t="shared" si="129"/>
        <v>-26.877653795005223</v>
      </c>
      <c r="AH226" s="86">
        <f t="shared" si="130"/>
        <v>10.780786669008364</v>
      </c>
      <c r="AJ226" s="86" t="str">
        <f t="shared" si="131"/>
        <v>3495.82633173495-18837.2228072643j</v>
      </c>
      <c r="AK226" s="86" t="str">
        <f t="shared" si="132"/>
        <v>20000-0.000436756985360104j</v>
      </c>
      <c r="AL226" s="86" t="str">
        <f t="shared" si="146"/>
        <v>10000-20352.0245510442j</v>
      </c>
      <c r="AM226" s="86" t="str">
        <f t="shared" si="147"/>
        <v>863.934975616543-6608.90130200311j</v>
      </c>
      <c r="AN226" s="86" t="str">
        <f t="shared" si="148"/>
        <v>10863.9349756165-6608.90130200311j</v>
      </c>
      <c r="AO226" s="86" t="str">
        <f t="shared" si="149"/>
        <v>7608.08091460318-2653.48445246903j</v>
      </c>
      <c r="AP226" s="86" t="str">
        <f t="shared" si="150"/>
        <v>0.518159897880525+0.415422428558486j</v>
      </c>
      <c r="AQ226" s="86" t="str">
        <f t="shared" si="133"/>
        <v>1+33.411909380048j</v>
      </c>
      <c r="AR226" s="86">
        <f t="shared" si="134"/>
        <v>-2.6482212039886879E-7</v>
      </c>
      <c r="AS226" s="86" t="str">
        <f t="shared" si="135"/>
        <v>0.00131362306594295j</v>
      </c>
      <c r="AT226" s="86" t="str">
        <f t="shared" si="136"/>
        <v>-2.64822120398869E-07+0.00131362306594295j</v>
      </c>
      <c r="AU226" s="86" t="str">
        <f t="shared" si="137"/>
        <v>3.815216171022-0.114957142236073j</v>
      </c>
      <c r="AW226" s="86" t="str">
        <f t="shared" si="151"/>
        <v>2.04823925166081-0.0301956366199203j</v>
      </c>
      <c r="AX226" s="86">
        <f t="shared" si="138"/>
        <v>6.2285574562576604</v>
      </c>
      <c r="AY226" s="86">
        <f t="shared" si="139"/>
        <v>179.15539299527205</v>
      </c>
      <c r="AZ226" s="86" t="str">
        <f t="shared" si="140"/>
        <v>-0.0823206393792765-0.00744766970930024j</v>
      </c>
      <c r="BA226" s="86">
        <f t="shared" si="141"/>
        <v>-21.654422607119951</v>
      </c>
      <c r="BB226" s="86">
        <f t="shared" si="142"/>
        <v>5.1695599330524828</v>
      </c>
      <c r="BD226" s="86" t="str">
        <f t="shared" si="143"/>
        <v>-0.0914074644891566-0.0160126407136347j</v>
      </c>
      <c r="BE226" s="86">
        <f t="shared" si="144"/>
        <v>-20.649096338747551</v>
      </c>
      <c r="BF226" s="86">
        <f t="shared" si="145"/>
        <v>9.9361796642803881</v>
      </c>
      <c r="BH226" s="86">
        <f t="shared" si="152"/>
        <v>21.649096338747551</v>
      </c>
      <c r="BI226" s="162">
        <f t="shared" si="153"/>
        <v>-9.9361796642803881</v>
      </c>
      <c r="BJ226" s="88"/>
      <c r="BK226" s="88"/>
      <c r="BL226" s="88"/>
      <c r="BM226" s="88"/>
      <c r="BN226" s="42"/>
      <c r="BO226" s="42"/>
      <c r="BP226" s="42"/>
    </row>
    <row r="227" spans="1:68" s="86" customFormat="1">
      <c r="A227" s="86">
        <v>163</v>
      </c>
      <c r="B227" s="86">
        <f t="shared" si="103"/>
        <v>181970.08586099852</v>
      </c>
      <c r="C227" s="86" t="str">
        <f t="shared" si="104"/>
        <v>1143351.76982803j</v>
      </c>
      <c r="D227" s="86">
        <f t="shared" si="105"/>
        <v>0.59232856696510927</v>
      </c>
      <c r="E227" s="86" t="str">
        <f t="shared" si="106"/>
        <v>-1.00294014897196j</v>
      </c>
      <c r="F227" s="86" t="str">
        <f t="shared" si="107"/>
        <v>0.592328566965109-1.00294014897196j</v>
      </c>
      <c r="G227" s="86">
        <f t="shared" si="108"/>
        <v>1.324972930305468</v>
      </c>
      <c r="H227" s="86">
        <f t="shared" si="109"/>
        <v>-59.434235131217761</v>
      </c>
      <c r="J227" s="86">
        <f t="shared" si="110"/>
        <v>8.3707025411061284</v>
      </c>
      <c r="K227" s="86" t="str">
        <f t="shared" si="111"/>
        <v>1+49.0865415182241j</v>
      </c>
      <c r="L227" s="86">
        <f t="shared" si="112"/>
        <v>-151.68190597558976</v>
      </c>
      <c r="M227" s="86" t="str">
        <f t="shared" si="113"/>
        <v>3.36741877381264j</v>
      </c>
      <c r="N227" s="86" t="str">
        <f t="shared" si="114"/>
        <v>-151.68190597559+3.36741877381264j</v>
      </c>
      <c r="O227" s="86" t="str">
        <f t="shared" si="115"/>
        <v>0.000591389251088612-0.32360188083908j</v>
      </c>
      <c r="P227" s="86" t="str">
        <f t="shared" si="116"/>
        <v>0.0049503435068703-2.70877508624641j</v>
      </c>
      <c r="R227" s="86">
        <f t="shared" si="117"/>
        <v>11.958146487294469</v>
      </c>
      <c r="S227" s="86" t="str">
        <f t="shared" si="118"/>
        <v>1+0.0857513827371022j</v>
      </c>
      <c r="T227" s="86" t="str">
        <f t="shared" si="119"/>
        <v>-151.68190597559+3.36741877381264j</v>
      </c>
      <c r="U227" s="86" t="str">
        <f t="shared" si="120"/>
        <v>-0.00657695184179235-0.000711348747562411j</v>
      </c>
      <c r="V227" s="86" t="str">
        <f t="shared" si="121"/>
        <v>-0.0786481535640341-0.00850641252690476j</v>
      </c>
      <c r="X227" s="86" t="str">
        <f t="shared" si="122"/>
        <v>-0.112325828844277-0.066615929113923j</v>
      </c>
      <c r="Y227" s="86">
        <f t="shared" si="123"/>
        <v>-17.681540353817123</v>
      </c>
      <c r="Z227" s="86">
        <f t="shared" si="124"/>
        <v>30.67047399570879</v>
      </c>
      <c r="AB227" s="86" t="str">
        <f t="shared" si="125"/>
        <v>-0.0365762509645059-0.00395600742410775j</v>
      </c>
      <c r="AC227" s="86">
        <f t="shared" si="126"/>
        <v>-28.685506827753365</v>
      </c>
      <c r="AD227" s="86">
        <f t="shared" si="127"/>
        <v>6.1729902343899141</v>
      </c>
      <c r="AF227" s="86" t="str">
        <f t="shared" si="128"/>
        <v>-0.0406412588396727-0.00750654109198254j</v>
      </c>
      <c r="AG227" s="86">
        <f t="shared" si="129"/>
        <v>-27.6749685752111</v>
      </c>
      <c r="AH227" s="86">
        <f t="shared" si="130"/>
        <v>10.464734460596873</v>
      </c>
      <c r="AJ227" s="86" t="str">
        <f t="shared" si="131"/>
        <v>3197.59879123485-18042.2624703764j</v>
      </c>
      <c r="AK227" s="86" t="str">
        <f t="shared" si="132"/>
        <v>20000-0.000457340707931212j</v>
      </c>
      <c r="AL227" s="86" t="str">
        <f t="shared" si="146"/>
        <v>10000-19436.0325567735j</v>
      </c>
      <c r="AM227" s="86" t="str">
        <f t="shared" si="147"/>
        <v>855.434238290786-6335.40873323631j</v>
      </c>
      <c r="AN227" s="86" t="str">
        <f t="shared" si="148"/>
        <v>10855.4342382908-6335.40873323631j</v>
      </c>
      <c r="AO227" s="86" t="str">
        <f t="shared" si="149"/>
        <v>7560.74065106655-2554.09770649811j</v>
      </c>
      <c r="AP227" s="86" t="str">
        <f t="shared" si="150"/>
        <v>0.537197933155962+0.417813325599352j</v>
      </c>
      <c r="AQ227" s="86" t="str">
        <f t="shared" si="133"/>
        <v>1+34.9865641567377j</v>
      </c>
      <c r="AR227" s="86">
        <f t="shared" si="134"/>
        <v>-3.0001950048808034E-7</v>
      </c>
      <c r="AS227" s="86" t="str">
        <f t="shared" si="135"/>
        <v>0.00137553221372701j</v>
      </c>
      <c r="AT227" s="86" t="str">
        <f t="shared" si="136"/>
        <v>-3.0001950048808E-07+0.00137553221372701j</v>
      </c>
      <c r="AU227" s="86" t="str">
        <f t="shared" si="137"/>
        <v>3.81521537972253-0.109880842850602j</v>
      </c>
      <c r="AW227" s="86" t="str">
        <f t="shared" si="151"/>
        <v>2.06196535874009-0.106696467375438j</v>
      </c>
      <c r="AX227" s="86">
        <f t="shared" si="138"/>
        <v>6.2972402016082789</v>
      </c>
      <c r="AY227" s="86">
        <f t="shared" si="139"/>
        <v>177.03786981122056</v>
      </c>
      <c r="AZ227" s="86" t="str">
        <f t="shared" si="140"/>
        <v>-0.0758410544584583-0.00425459349967856j</v>
      </c>
      <c r="BA227" s="86">
        <f t="shared" si="141"/>
        <v>-22.388266626145086</v>
      </c>
      <c r="BB227" s="86">
        <f t="shared" si="142"/>
        <v>3.2108600456104739</v>
      </c>
      <c r="BD227" s="86" t="str">
        <f t="shared" si="143"/>
        <v>-0.0846017892797176-0.0111419489477432j</v>
      </c>
      <c r="BE227" s="86">
        <f t="shared" si="144"/>
        <v>-21.377728373602825</v>
      </c>
      <c r="BF227" s="86">
        <f t="shared" si="145"/>
        <v>7.5026042718174892</v>
      </c>
      <c r="BH227" s="86">
        <f t="shared" si="152"/>
        <v>22.377728373602825</v>
      </c>
      <c r="BI227" s="162">
        <f t="shared" si="153"/>
        <v>-7.5026042718174892</v>
      </c>
      <c r="BJ227" s="88"/>
      <c r="BK227" s="88"/>
      <c r="BL227" s="88"/>
      <c r="BM227" s="88"/>
      <c r="BN227" s="42"/>
      <c r="BO227" s="42"/>
      <c r="BP227" s="42"/>
    </row>
    <row r="228" spans="1:68" s="86" customFormat="1">
      <c r="A228" s="86">
        <v>164</v>
      </c>
      <c r="B228" s="86">
        <f t="shared" si="103"/>
        <v>190546.07179632501</v>
      </c>
      <c r="C228" s="86" t="str">
        <f t="shared" si="104"/>
        <v>1197236.27865146j</v>
      </c>
      <c r="D228" s="86">
        <f t="shared" si="105"/>
        <v>0.55299716248678876</v>
      </c>
      <c r="E228" s="86" t="str">
        <f t="shared" si="106"/>
        <v>-1.05020726197496j</v>
      </c>
      <c r="F228" s="86" t="str">
        <f t="shared" si="107"/>
        <v>0.552997162486789-1.05020726197496j</v>
      </c>
      <c r="G228" s="86">
        <f t="shared" si="108"/>
        <v>1.4883120222296071</v>
      </c>
      <c r="H228" s="86">
        <f t="shared" si="109"/>
        <v>-62.230502323661419</v>
      </c>
      <c r="J228" s="86">
        <f t="shared" si="110"/>
        <v>8.3707025411061284</v>
      </c>
      <c r="K228" s="86" t="str">
        <f t="shared" si="111"/>
        <v>1+51.3999189488186j</v>
      </c>
      <c r="L228" s="86">
        <f t="shared" si="112"/>
        <v>-166.41238084782069</v>
      </c>
      <c r="M228" s="86" t="str">
        <f t="shared" si="113"/>
        <v>3.5261203313018j</v>
      </c>
      <c r="N228" s="86" t="str">
        <f t="shared" si="114"/>
        <v>-166.412380847821+3.5261203313018j</v>
      </c>
      <c r="O228" s="86" t="str">
        <f t="shared" si="115"/>
        <v>0.000535269563019471-0.308859420567582j</v>
      </c>
      <c r="P228" s="86" t="str">
        <f t="shared" si="116"/>
        <v>0.00448058229134385-2.58537033658962j</v>
      </c>
      <c r="R228" s="86">
        <f t="shared" si="117"/>
        <v>11.958146487294469</v>
      </c>
      <c r="S228" s="86" t="str">
        <f t="shared" si="118"/>
        <v>1+0.0897927208988595j</v>
      </c>
      <c r="T228" s="86" t="str">
        <f t="shared" si="119"/>
        <v>-166.412380847821+3.5261203313018j</v>
      </c>
      <c r="U228" s="86" t="str">
        <f t="shared" si="120"/>
        <v>-0.00599504346914443-0.000666608848435932j</v>
      </c>
      <c r="V228" s="86" t="str">
        <f t="shared" si="121"/>
        <v>-0.0716896080017271-0.00797140625932355j</v>
      </c>
      <c r="X228" s="86" t="str">
        <f t="shared" si="122"/>
        <v>-0.112279881020654-0.0593708631592809j</v>
      </c>
      <c r="Y228" s="86">
        <f t="shared" si="123"/>
        <v>-17.92320641863839</v>
      </c>
      <c r="Z228" s="86">
        <f t="shared" si="124"/>
        <v>27.868794165668078</v>
      </c>
      <c r="AB228" s="86" t="str">
        <f t="shared" si="125"/>
        <v>-0.0333400973194281-0.00370719645240831j</v>
      </c>
      <c r="AC228" s="86">
        <f t="shared" si="126"/>
        <v>-29.48729599081517</v>
      </c>
      <c r="AD228" s="86">
        <f t="shared" si="127"/>
        <v>6.3448450656851207</v>
      </c>
      <c r="AF228" s="86" t="str">
        <f t="shared" si="128"/>
        <v>-0.037111695565085-0.00665812312354428j</v>
      </c>
      <c r="AG228" s="86">
        <f t="shared" si="129"/>
        <v>-28.472199728315974</v>
      </c>
      <c r="AH228" s="86">
        <f t="shared" si="130"/>
        <v>10.17109784127021</v>
      </c>
      <c r="AJ228" s="86" t="str">
        <f t="shared" si="131"/>
        <v>2924.08001186273-17276.520405736j</v>
      </c>
      <c r="AK228" s="86" t="str">
        <f t="shared" si="132"/>
        <v>20000-0.000478894511460584j</v>
      </c>
      <c r="AL228" s="86" t="str">
        <f t="shared" si="146"/>
        <v>10000-18561.2669933898j</v>
      </c>
      <c r="AM228" s="86" t="str">
        <f t="shared" si="147"/>
        <v>846.303587729868-6074.84245387435j</v>
      </c>
      <c r="AN228" s="86" t="str">
        <f t="shared" si="148"/>
        <v>10846.3035877299-6074.84245387435j</v>
      </c>
      <c r="AO228" s="86" t="str">
        <f t="shared" si="149"/>
        <v>7516.64862423891-2458.45970759437j</v>
      </c>
      <c r="AP228" s="86" t="str">
        <f t="shared" si="150"/>
        <v>0.556415378926978+0.419337283358483j</v>
      </c>
      <c r="AQ228" s="86" t="str">
        <f t="shared" si="133"/>
        <v>1+36.6354301267347j</v>
      </c>
      <c r="AR228" s="86">
        <f t="shared" si="134"/>
        <v>-3.3861266031727525E-7</v>
      </c>
      <c r="AS228" s="86" t="str">
        <f t="shared" si="135"/>
        <v>0.00144035904975721j</v>
      </c>
      <c r="AT228" s="86" t="str">
        <f t="shared" si="136"/>
        <v>-3.38612660317275E-07+0.00144035904975721j</v>
      </c>
      <c r="AU228" s="86" t="str">
        <f t="shared" si="137"/>
        <v>3.8152146528118-0.105037615453433j</v>
      </c>
      <c r="AW228" s="86" t="str">
        <f t="shared" si="151"/>
        <v>2.06882840390943-0.185670897204241j</v>
      </c>
      <c r="AX228" s="86">
        <f t="shared" si="138"/>
        <v>6.3493295425651288</v>
      </c>
      <c r="AY228" s="86">
        <f t="shared" si="139"/>
        <v>174.87162187244806</v>
      </c>
      <c r="AZ228" s="86" t="str">
        <f t="shared" si="140"/>
        <v>-0.0696632588149685-0.00147926753743967j</v>
      </c>
      <c r="BA228" s="86">
        <f t="shared" si="141"/>
        <v>-23.137966448250044</v>
      </c>
      <c r="BB228" s="86">
        <f t="shared" si="142"/>
        <v>1.2164669381332089</v>
      </c>
      <c r="BD228" s="86" t="str">
        <f t="shared" si="143"/>
        <v>-0.0780139495963322-0.00688395242237461j</v>
      </c>
      <c r="BE228" s="86">
        <f t="shared" si="144"/>
        <v>-22.122870185750848</v>
      </c>
      <c r="BF228" s="86">
        <f t="shared" si="145"/>
        <v>5.0427197137182702</v>
      </c>
      <c r="BH228" s="86">
        <f t="shared" si="152"/>
        <v>23.122870185750848</v>
      </c>
      <c r="BI228" s="162">
        <f t="shared" si="153"/>
        <v>-5.0427197137182702</v>
      </c>
      <c r="BJ228" s="88"/>
      <c r="BK228" s="88"/>
      <c r="BL228" s="88"/>
      <c r="BM228" s="88"/>
      <c r="BN228" s="42"/>
      <c r="BO228" s="42"/>
      <c r="BP228" s="42"/>
    </row>
    <row r="229" spans="1:68" s="86" customFormat="1">
      <c r="A229" s="86">
        <v>165</v>
      </c>
      <c r="B229" s="86">
        <f t="shared" si="103"/>
        <v>199526.23149688821</v>
      </c>
      <c r="C229" s="86" t="str">
        <f t="shared" si="104"/>
        <v>1253660.28613816j</v>
      </c>
      <c r="D229" s="86">
        <f t="shared" si="105"/>
        <v>0.50987113505263537</v>
      </c>
      <c r="E229" s="86" t="str">
        <f t="shared" si="106"/>
        <v>-1.09970200538435j</v>
      </c>
      <c r="F229" s="86" t="str">
        <f t="shared" si="107"/>
        <v>0.509871135052635-1.09970200538435j</v>
      </c>
      <c r="G229" s="86">
        <f t="shared" si="108"/>
        <v>1.6711434327901507</v>
      </c>
      <c r="H229" s="86">
        <f t="shared" si="109"/>
        <v>-65.125447437660029</v>
      </c>
      <c r="J229" s="86">
        <f t="shared" si="110"/>
        <v>8.3707025411061284</v>
      </c>
      <c r="K229" s="86" t="str">
        <f t="shared" si="111"/>
        <v>1+53.8223224988101j</v>
      </c>
      <c r="L229" s="86">
        <f t="shared" si="112"/>
        <v>-182.5640253640519</v>
      </c>
      <c r="M229" s="86" t="str">
        <f t="shared" si="113"/>
        <v>3.69230126276879j</v>
      </c>
      <c r="N229" s="86" t="str">
        <f t="shared" si="114"/>
        <v>-182.564025364052+3.69230126276879j</v>
      </c>
      <c r="O229" s="86" t="str">
        <f t="shared" si="115"/>
        <v>0.000484781802574-0.294803603453772j</v>
      </c>
      <c r="P229" s="86" t="str">
        <f t="shared" si="116"/>
        <v>0.00405796426668819-2.46771327255773j</v>
      </c>
      <c r="R229" s="86">
        <f t="shared" si="117"/>
        <v>11.958146487294469</v>
      </c>
      <c r="S229" s="86" t="str">
        <f t="shared" si="118"/>
        <v>1+0.094024521460362j</v>
      </c>
      <c r="T229" s="86" t="str">
        <f t="shared" si="119"/>
        <v>-182.564025364052+3.69230126276879j</v>
      </c>
      <c r="U229" s="86" t="str">
        <f t="shared" si="120"/>
        <v>-0.00546487889691429-0.000625547670109625j</v>
      </c>
      <c r="V229" s="86" t="str">
        <f t="shared" si="121"/>
        <v>-0.0653498223846253-0.00748039067395665j</v>
      </c>
      <c r="X229" s="86" t="str">
        <f t="shared" si="122"/>
        <v>-0.112237796924775-0.0522628859188351j</v>
      </c>
      <c r="Y229" s="86">
        <f t="shared" si="123"/>
        <v>-18.144937601186676</v>
      </c>
      <c r="Z229" s="86">
        <f t="shared" si="124"/>
        <v>24.968770970494688</v>
      </c>
      <c r="AB229" s="86" t="str">
        <f t="shared" si="125"/>
        <v>-0.0303917052811651-0.00347884386606004j</v>
      </c>
      <c r="AC229" s="86">
        <f t="shared" si="126"/>
        <v>-30.288364028002754</v>
      </c>
      <c r="AD229" s="86">
        <f t="shared" si="127"/>
        <v>6.5300480886081971</v>
      </c>
      <c r="AF229" s="86" t="str">
        <f t="shared" si="128"/>
        <v>-0.0338859283885778-0.00591354335372763j</v>
      </c>
      <c r="AG229" s="86">
        <f t="shared" si="129"/>
        <v>-29.269322452348053</v>
      </c>
      <c r="AH229" s="86">
        <f t="shared" si="130"/>
        <v>9.8991830365577869</v>
      </c>
      <c r="AJ229" s="86" t="str">
        <f t="shared" si="131"/>
        <v>2673.34330790919-16539.4764998328j</v>
      </c>
      <c r="AK229" s="86" t="str">
        <f t="shared" si="132"/>
        <v>20000-0.000501464114455264j</v>
      </c>
      <c r="AL229" s="86" t="str">
        <f t="shared" si="146"/>
        <v>10000-17725.8723658518j</v>
      </c>
      <c r="AM229" s="86" t="str">
        <f t="shared" si="147"/>
        <v>836.513467376074-5826.59257615475j</v>
      </c>
      <c r="AN229" s="86" t="str">
        <f t="shared" si="148"/>
        <v>10836.5134673761-5826.59257615475j</v>
      </c>
      <c r="AO229" s="86" t="str">
        <f t="shared" si="149"/>
        <v>7475.5202484641-2366.51405169791j</v>
      </c>
      <c r="AP229" s="86" t="str">
        <f t="shared" si="150"/>
        <v>0.575732403672261+0.419978307506725j</v>
      </c>
      <c r="AQ229" s="86" t="str">
        <f t="shared" si="133"/>
        <v>1+38.3620047558277j</v>
      </c>
      <c r="AR229" s="86">
        <f t="shared" si="134"/>
        <v>-3.8092921859024308E-7</v>
      </c>
      <c r="AS229" s="86" t="str">
        <f t="shared" si="135"/>
        <v>0.00150824108044424j</v>
      </c>
      <c r="AT229" s="86" t="str">
        <f t="shared" si="136"/>
        <v>-3.80929218590243E-07+0.00150824108044424j</v>
      </c>
      <c r="AU229" s="86" t="str">
        <f t="shared" si="137"/>
        <v>3.815213984119-0.100417186910938j</v>
      </c>
      <c r="AW229" s="86" t="str">
        <f t="shared" si="151"/>
        <v>2.06848485281977-0.266355719033324j</v>
      </c>
      <c r="AX229" s="86">
        <f t="shared" si="138"/>
        <v>6.3844681935910508</v>
      </c>
      <c r="AY229" s="86">
        <f t="shared" si="139"/>
        <v>172.66248513065801</v>
      </c>
      <c r="AZ229" s="86" t="str">
        <f t="shared" si="140"/>
        <v>-0.0637913919848017+0.000899068670543452j</v>
      </c>
      <c r="BA229" s="86">
        <f t="shared" si="141"/>
        <v>-23.903895834411703</v>
      </c>
      <c r="BB229" s="86">
        <f t="shared" si="142"/>
        <v>-0.80746678073381872</v>
      </c>
      <c r="BD229" s="86" t="str">
        <f t="shared" si="143"/>
        <v>-0.0716676356875255-0.00320636403262725j</v>
      </c>
      <c r="BE229" s="86">
        <f t="shared" si="144"/>
        <v>-22.884854258757002</v>
      </c>
      <c r="BF229" s="86">
        <f t="shared" si="145"/>
        <v>2.5616681672157426</v>
      </c>
      <c r="BH229" s="86">
        <f t="shared" si="152"/>
        <v>23.884854258757002</v>
      </c>
      <c r="BI229" s="162">
        <f t="shared" si="153"/>
        <v>-2.5616681672157426</v>
      </c>
      <c r="BJ229" s="88"/>
      <c r="BK229" s="88"/>
      <c r="BL229" s="88"/>
      <c r="BM229" s="88"/>
      <c r="BN229" s="42"/>
      <c r="BO229" s="42"/>
      <c r="BP229" s="42"/>
    </row>
    <row r="230" spans="1:68" s="86" customFormat="1">
      <c r="A230" s="86">
        <v>166</v>
      </c>
      <c r="B230" s="86">
        <f t="shared" si="103"/>
        <v>208929.61308540421</v>
      </c>
      <c r="C230" s="86" t="str">
        <f t="shared" si="104"/>
        <v>1312743.47517293j</v>
      </c>
      <c r="D230" s="86">
        <f t="shared" si="105"/>
        <v>0.46258438628480347</v>
      </c>
      <c r="E230" s="86" t="str">
        <f t="shared" si="106"/>
        <v>-1.15152936418678j</v>
      </c>
      <c r="F230" s="86" t="str">
        <f t="shared" si="107"/>
        <v>0.462584386284803-1.15152936418678j</v>
      </c>
      <c r="G230" s="86">
        <f t="shared" si="108"/>
        <v>1.8752190274159553</v>
      </c>
      <c r="H230" s="86">
        <f t="shared" si="109"/>
        <v>-68.114027429566008</v>
      </c>
      <c r="J230" s="86">
        <f t="shared" si="110"/>
        <v>8.3707025411061284</v>
      </c>
      <c r="K230" s="86" t="str">
        <f t="shared" si="111"/>
        <v>1+56.3588904109064j</v>
      </c>
      <c r="L230" s="86">
        <f t="shared" si="112"/>
        <v>-200.27395140795878</v>
      </c>
      <c r="M230" s="86" t="str">
        <f t="shared" si="113"/>
        <v>3.8663140602496j</v>
      </c>
      <c r="N230" s="86" t="str">
        <f t="shared" si="114"/>
        <v>-200.273951407959+3.8663140602496j</v>
      </c>
      <c r="O230" s="86" t="str">
        <f t="shared" si="115"/>
        <v>0.000439311974496392-0.281400509135822j</v>
      </c>
      <c r="P230" s="86" t="str">
        <f t="shared" si="116"/>
        <v>0.0036773498612553-2.35551995689178j</v>
      </c>
      <c r="R230" s="86">
        <f t="shared" si="117"/>
        <v>11.958146487294469</v>
      </c>
      <c r="S230" s="86" t="str">
        <f t="shared" si="118"/>
        <v>1+0.0984557606379697j</v>
      </c>
      <c r="T230" s="86" t="str">
        <f t="shared" si="119"/>
        <v>-200.273951407959+3.8663140602496j</v>
      </c>
      <c r="U230" s="86" t="str">
        <f t="shared" si="120"/>
        <v>-0.00498181341631152-0.000587779963731803j</v>
      </c>
      <c r="V230" s="86" t="str">
        <f t="shared" si="121"/>
        <v>-0.0595732546046221-0.00702875890860153j</v>
      </c>
      <c r="X230" s="86" t="str">
        <f t="shared" si="122"/>
        <v>-0.11219926725252-0.0452754664852455j</v>
      </c>
      <c r="Y230" s="86">
        <f t="shared" si="123"/>
        <v>-18.345021342437718</v>
      </c>
      <c r="Z230" s="86">
        <f t="shared" si="124"/>
        <v>21.975420530768503</v>
      </c>
      <c r="AB230" s="86" t="str">
        <f t="shared" si="125"/>
        <v>-0.0277052443375798-0.0032688071894873j</v>
      </c>
      <c r="AC230" s="86">
        <f t="shared" si="126"/>
        <v>-31.088721294599772</v>
      </c>
      <c r="AD230" s="86">
        <f t="shared" si="127"/>
        <v>6.7289423541279803</v>
      </c>
      <c r="AF230" s="86" t="str">
        <f t="shared" si="128"/>
        <v>-0.0309383721111845-0.00525968975567794j</v>
      </c>
      <c r="AG230" s="86">
        <f t="shared" si="129"/>
        <v>-30.066311431864662</v>
      </c>
      <c r="AH230" s="86">
        <f t="shared" si="130"/>
        <v>9.6483449958844005</v>
      </c>
      <c r="AJ230" s="86" t="str">
        <f t="shared" si="131"/>
        <v>2443.59230815122-15830.5416517383j</v>
      </c>
      <c r="AK230" s="86" t="str">
        <f t="shared" si="132"/>
        <v>20000-0.000525097390069172j</v>
      </c>
      <c r="AL230" s="86" t="str">
        <f t="shared" si="146"/>
        <v>10000-16928.0766901507j</v>
      </c>
      <c r="AM230" s="86" t="str">
        <f t="shared" si="147"/>
        <v>826.035892639074-5590.07066435315j</v>
      </c>
      <c r="AN230" s="86" t="str">
        <f t="shared" si="148"/>
        <v>10826.0358926391-5590.07066435315j</v>
      </c>
      <c r="AO230" s="86" t="str">
        <f t="shared" si="149"/>
        <v>7437.08855713104-2278.18992814269j</v>
      </c>
      <c r="AP230" s="86" t="str">
        <f t="shared" si="150"/>
        <v>0.595067502037662+0.419729628601067j</v>
      </c>
      <c r="AQ230" s="86" t="str">
        <f t="shared" si="133"/>
        <v>1+40.1699503402917j</v>
      </c>
      <c r="AR230" s="86">
        <f t="shared" si="134"/>
        <v>-4.2732840207238471E-7</v>
      </c>
      <c r="AS230" s="86" t="str">
        <f t="shared" si="135"/>
        <v>0.0015793222926763j</v>
      </c>
      <c r="AT230" s="86" t="str">
        <f t="shared" si="136"/>
        <v>-4.27328402072385E-07+0.0015793222926763j</v>
      </c>
      <c r="AU230" s="86" t="str">
        <f t="shared" si="137"/>
        <v>3.81521336796759-0.0960097566755344j</v>
      </c>
      <c r="AW230" s="86" t="str">
        <f t="shared" si="151"/>
        <v>2.06070114707697-0.347933622358765j</v>
      </c>
      <c r="AX230" s="86">
        <f t="shared" si="138"/>
        <v>6.4023758950541545</v>
      </c>
      <c r="AY230" s="86">
        <f t="shared" si="139"/>
        <v>170.41643245137769</v>
      </c>
      <c r="AZ230" s="86" t="str">
        <f t="shared" si="140"/>
        <v>-0.0582295567127292+0.00290355129575888j</v>
      </c>
      <c r="BA230" s="86">
        <f t="shared" si="141"/>
        <v>-24.686345399545608</v>
      </c>
      <c r="BB230" s="86">
        <f t="shared" si="142"/>
        <v>-2.8546251944943606</v>
      </c>
      <c r="BD230" s="86" t="str">
        <f t="shared" si="143"/>
        <v>-0.0655847618073885-0.0000741488342666984j</v>
      </c>
      <c r="BE230" s="86">
        <f t="shared" si="144"/>
        <v>-23.663935536810495</v>
      </c>
      <c r="BF230" s="86">
        <f t="shared" si="145"/>
        <v>6.4777447262059695E-2</v>
      </c>
      <c r="BH230" s="86">
        <f t="shared" si="152"/>
        <v>24.663935536810495</v>
      </c>
      <c r="BI230" s="162">
        <f t="shared" si="153"/>
        <v>-6.4777447262059695E-2</v>
      </c>
      <c r="BJ230" s="88"/>
      <c r="BK230" s="88"/>
      <c r="BL230" s="88"/>
      <c r="BM230" s="88"/>
      <c r="BN230" s="42"/>
      <c r="BO230" s="42"/>
      <c r="BP230" s="42"/>
    </row>
    <row r="231" spans="1:68" s="86" customFormat="1">
      <c r="A231" s="86">
        <v>167</v>
      </c>
      <c r="B231" s="86">
        <f t="shared" si="103"/>
        <v>218776.16239495529</v>
      </c>
      <c r="C231" s="86" t="str">
        <f t="shared" si="104"/>
        <v>1374611.16912112j</v>
      </c>
      <c r="D231" s="86">
        <f t="shared" si="105"/>
        <v>0.41073549729438086</v>
      </c>
      <c r="E231" s="86" t="str">
        <f t="shared" si="106"/>
        <v>-1.20579927115888j</v>
      </c>
      <c r="F231" s="86" t="str">
        <f t="shared" si="107"/>
        <v>0.410735497294381-1.20579927115888j</v>
      </c>
      <c r="G231" s="86">
        <f t="shared" si="108"/>
        <v>2.1022633446841459</v>
      </c>
      <c r="H231" s="86">
        <f t="shared" si="109"/>
        <v>-71.189442798489893</v>
      </c>
      <c r="J231" s="86">
        <f t="shared" si="110"/>
        <v>8.3707025411061284</v>
      </c>
      <c r="K231" s="86" t="str">
        <f t="shared" si="111"/>
        <v>1+59.0150030857321j</v>
      </c>
      <c r="L231" s="86">
        <f t="shared" si="112"/>
        <v>-219.69249917040884</v>
      </c>
      <c r="M231" s="86" t="str">
        <f t="shared" si="113"/>
        <v>4.04852782821794j</v>
      </c>
      <c r="N231" s="86" t="str">
        <f t="shared" si="114"/>
        <v>-219.692499170409+4.04852782821794j</v>
      </c>
      <c r="O231" s="86" t="str">
        <f t="shared" si="115"/>
        <v>0.000398320447114775-0.268618139887163j</v>
      </c>
      <c r="P231" s="86" t="str">
        <f t="shared" si="116"/>
        <v>0.00333422197883818-2.24852254614068j</v>
      </c>
      <c r="R231" s="86">
        <f t="shared" si="117"/>
        <v>11.958146487294469</v>
      </c>
      <c r="S231" s="86" t="str">
        <f t="shared" si="118"/>
        <v>1+0.103095837684084j</v>
      </c>
      <c r="T231" s="86" t="str">
        <f t="shared" si="119"/>
        <v>-219.692499170409+4.04852782821794j</v>
      </c>
      <c r="U231" s="86" t="str">
        <f t="shared" si="120"/>
        <v>-0.00454162659533423-0.000552967169108667j</v>
      </c>
      <c r="V231" s="86" t="str">
        <f t="shared" si="121"/>
        <v>-0.0543094361175992-0.00661246241086597j</v>
      </c>
      <c r="X231" s="86" t="str">
        <f t="shared" si="122"/>
        <v>-0.112164004630732-0.0383925202861425j</v>
      </c>
      <c r="Y231" s="86">
        <f t="shared" si="123"/>
        <v>-18.521768889804783</v>
      </c>
      <c r="Z231" s="86">
        <f t="shared" si="124"/>
        <v>18.895518194076203</v>
      </c>
      <c r="AB231" s="86" t="str">
        <f t="shared" si="125"/>
        <v>-0.0252572434972778-0.00307520359567345j</v>
      </c>
      <c r="AC231" s="86">
        <f t="shared" si="126"/>
        <v>-31.888372157112567</v>
      </c>
      <c r="AD231" s="86">
        <f t="shared" si="127"/>
        <v>6.941897097162439</v>
      </c>
      <c r="AF231" s="86" t="str">
        <f t="shared" si="128"/>
        <v>-0.028245498051826-0.0046851214349451j</v>
      </c>
      <c r="AG231" s="86">
        <f t="shared" si="129"/>
        <v>-30.863140592613433</v>
      </c>
      <c r="AH231" s="86">
        <f t="shared" si="130"/>
        <v>9.4179848027058028</v>
      </c>
      <c r="AJ231" s="86" t="str">
        <f t="shared" si="131"/>
        <v>2233.15552874067-15149.0708263651j</v>
      </c>
      <c r="AK231" s="86" t="str">
        <f t="shared" si="132"/>
        <v>20000-0.000549844467648448j</v>
      </c>
      <c r="AL231" s="86" t="str">
        <f t="shared" si="146"/>
        <v>10000-16166.1877346962j</v>
      </c>
      <c r="AM231" s="86" t="str">
        <f t="shared" si="147"/>
        <v>814.845048148208-5364.70846727081j</v>
      </c>
      <c r="AN231" s="86" t="str">
        <f t="shared" si="148"/>
        <v>10814.8450481482-5364.70846727081j</v>
      </c>
      <c r="AO231" s="86" t="str">
        <f t="shared" si="149"/>
        <v>7401.10398591448-2193.40405237954j</v>
      </c>
      <c r="AP231" s="86" t="str">
        <f t="shared" si="150"/>
        <v>0.614338863480581+0.418593875717356j</v>
      </c>
      <c r="AQ231" s="86" t="str">
        <f t="shared" si="133"/>
        <v>1+42.0631017751063j</v>
      </c>
      <c r="AR231" s="86">
        <f t="shared" si="134"/>
        <v>-4.7820409507939416E-7</v>
      </c>
      <c r="AS231" s="86" t="str">
        <f t="shared" si="135"/>
        <v>0.00165375345923455j</v>
      </c>
      <c r="AT231" s="86" t="str">
        <f t="shared" si="136"/>
        <v>-4.78204095079394E-07+0.00165375345923455j</v>
      </c>
      <c r="AU231" s="86" t="str">
        <f t="shared" si="137"/>
        <v>3.81521279912704-0.0918059759974227j</v>
      </c>
      <c r="AW231" s="86" t="str">
        <f t="shared" si="151"/>
        <v>2.04536317427155-0.429552392169235j</v>
      </c>
      <c r="AX231" s="86">
        <f t="shared" si="138"/>
        <v>6.4028519213439274</v>
      </c>
      <c r="AY231" s="86">
        <f t="shared" si="139"/>
        <v>168.13951994880762</v>
      </c>
      <c r="AZ231" s="86" t="str">
        <f t="shared" si="140"/>
        <v>-0.0529811967938706+0.00455940117587861j</v>
      </c>
      <c r="BA231" s="86">
        <f t="shared" si="141"/>
        <v>-25.485520235768632</v>
      </c>
      <c r="BB231" s="86">
        <f t="shared" si="142"/>
        <v>-4.9185829540299437</v>
      </c>
      <c r="BD231" s="86" t="str">
        <f t="shared" si="143"/>
        <v>-0.0597848066741477+0.00255014640614633j</v>
      </c>
      <c r="BE231" s="86">
        <f t="shared" si="144"/>
        <v>-24.460288671269513</v>
      </c>
      <c r="BF231" s="86">
        <f t="shared" si="145"/>
        <v>-2.4424952484865514</v>
      </c>
      <c r="BH231" s="86">
        <f t="shared" si="152"/>
        <v>25.460288671269513</v>
      </c>
      <c r="BI231" s="162">
        <f t="shared" si="153"/>
        <v>2.4424952484865514</v>
      </c>
      <c r="BJ231" s="88"/>
      <c r="BK231" s="88"/>
      <c r="BL231" s="88"/>
      <c r="BM231" s="88"/>
      <c r="BN231" s="42"/>
      <c r="BO231" s="42"/>
      <c r="BP231" s="42"/>
    </row>
    <row r="232" spans="1:68" s="86" customFormat="1">
      <c r="A232" s="86">
        <v>168</v>
      </c>
      <c r="B232" s="86">
        <f t="shared" si="103"/>
        <v>229086.7652767775</v>
      </c>
      <c r="C232" s="86" t="str">
        <f t="shared" si="104"/>
        <v>1439394.59765635j</v>
      </c>
      <c r="D232" s="86">
        <f t="shared" si="105"/>
        <v>0.35388432102212775</v>
      </c>
      <c r="E232" s="86" t="str">
        <f t="shared" si="106"/>
        <v>-1.26262684004943j</v>
      </c>
      <c r="F232" s="86" t="str">
        <f t="shared" si="107"/>
        <v>0.353884321022128-1.26262684004943j</v>
      </c>
      <c r="G232" s="86">
        <f t="shared" si="108"/>
        <v>2.3539224137572585</v>
      </c>
      <c r="H232" s="86">
        <f t="shared" si="109"/>
        <v>-74.343077117606555</v>
      </c>
      <c r="J232" s="86">
        <f t="shared" si="110"/>
        <v>8.3707025411061284</v>
      </c>
      <c r="K232" s="86" t="str">
        <f t="shared" si="111"/>
        <v>1+61.7962944943821j</v>
      </c>
      <c r="L232" s="86">
        <f t="shared" si="112"/>
        <v>-240.98451339270275</v>
      </c>
      <c r="M232" s="86" t="str">
        <f t="shared" si="113"/>
        <v>4.23932906650551j</v>
      </c>
      <c r="N232" s="86" t="str">
        <f t="shared" si="114"/>
        <v>-240.984513392703+4.23932906650551j</v>
      </c>
      <c r="O232" s="86" t="str">
        <f t="shared" si="115"/>
        <v>0.000361331886960336-0.256426281588111j</v>
      </c>
      <c r="P232" s="86" t="str">
        <f t="shared" si="116"/>
        <v>0.00302460174436156-2.146468126896j</v>
      </c>
      <c r="R232" s="86">
        <f t="shared" si="117"/>
        <v>11.958146487294469</v>
      </c>
      <c r="S232" s="86" t="str">
        <f t="shared" si="118"/>
        <v>1+0.107954594824226j</v>
      </c>
      <c r="T232" s="86" t="str">
        <f t="shared" si="119"/>
        <v>-240.984513392703+4.23932906650551j</v>
      </c>
      <c r="U232" s="86" t="str">
        <f t="shared" si="120"/>
        <v>-0.00414048228825695-0.000520811316757358j</v>
      </c>
      <c r="V232" s="86" t="str">
        <f t="shared" si="121"/>
        <v>-0.0495124937310248-0.00622793801802521j</v>
      </c>
      <c r="X232" s="86" t="str">
        <f t="shared" si="122"/>
        <v>-0.112131742607332-0.0315983497465577j</v>
      </c>
      <c r="Y232" s="86">
        <f t="shared" si="123"/>
        <v>-18.67356679996</v>
      </c>
      <c r="Z232" s="86">
        <f t="shared" si="124"/>
        <v>15.737658672405985</v>
      </c>
      <c r="AB232" s="86" t="str">
        <f t="shared" si="125"/>
        <v>-0.0230263688912927-0.00289637599378873j</v>
      </c>
      <c r="AC232" s="86">
        <f t="shared" si="126"/>
        <v>-32.687315075056766</v>
      </c>
      <c r="AD232" s="86">
        <f t="shared" si="127"/>
        <v>7.1693075378737774</v>
      </c>
      <c r="AF232" s="86" t="str">
        <f t="shared" si="128"/>
        <v>-0.0257856862894026-0.00417985562240344j</v>
      </c>
      <c r="AG232" s="86">
        <f t="shared" si="129"/>
        <v>-31.659782862240146</v>
      </c>
      <c r="AH232" s="86">
        <f t="shared" si="130"/>
        <v>9.2075472047255289</v>
      </c>
      <c r="AJ232" s="86" t="str">
        <f t="shared" si="131"/>
        <v>2040.4805350586-14494.3746111103j</v>
      </c>
      <c r="AK232" s="86" t="str">
        <f t="shared" si="132"/>
        <v>20000-0.000575757839062539j</v>
      </c>
      <c r="AL232" s="86" t="str">
        <f t="shared" si="146"/>
        <v>10000-15438.5894308655j</v>
      </c>
      <c r="AM232" s="86" t="str">
        <f t="shared" si="147"/>
        <v>802.917941442137-5149.95677942235j</v>
      </c>
      <c r="AN232" s="86" t="str">
        <f t="shared" si="148"/>
        <v>10802.9179414421-5149.95677942235j</v>
      </c>
      <c r="AO232" s="86" t="str">
        <f t="shared" si="149"/>
        <v>7367.33408491233-2112.0624212721j</v>
      </c>
      <c r="AP232" s="86" t="str">
        <f t="shared" si="150"/>
        <v>0.633465751811942+0.416583008906321j</v>
      </c>
      <c r="AQ232" s="86" t="str">
        <f t="shared" si="133"/>
        <v>1+44.0454746882843j</v>
      </c>
      <c r="AR232" s="86">
        <f t="shared" si="134"/>
        <v>-5.3398818317526076E-7</v>
      </c>
      <c r="AS232" s="86" t="str">
        <f t="shared" si="135"/>
        <v>0.00173169245860242j</v>
      </c>
      <c r="AT232" s="86" t="str">
        <f t="shared" si="136"/>
        <v>-5.33988183175261E-07+0.00173169245860242j</v>
      </c>
      <c r="AU232" s="86" t="str">
        <f t="shared" si="137"/>
        <v>3.81521227276845-0.0877969280946495j</v>
      </c>
      <c r="AW232" s="86" t="str">
        <f t="shared" si="151"/>
        <v>2.02248176078088-0.5103459071208j</v>
      </c>
      <c r="AX232" s="86">
        <f t="shared" si="138"/>
        <v>6.3857764611584544</v>
      </c>
      <c r="AY232" s="86">
        <f t="shared" si="139"/>
        <v>165.83783081939549</v>
      </c>
      <c r="AZ232" s="86" t="str">
        <f t="shared" si="140"/>
        <v>-0.0480485647335648+0.00589354549972366j</v>
      </c>
      <c r="BA232" s="86">
        <f t="shared" si="141"/>
        <v>-26.301538613898309</v>
      </c>
      <c r="BB232" s="86">
        <f t="shared" si="142"/>
        <v>-6.9928616427307873</v>
      </c>
      <c r="BD232" s="86" t="str">
        <f t="shared" si="143"/>
        <v>-0.0542842524187838+0.00470593770108918j</v>
      </c>
      <c r="BE232" s="86">
        <f t="shared" si="144"/>
        <v>-25.274006401081699</v>
      </c>
      <c r="BF232" s="86">
        <f t="shared" si="145"/>
        <v>-4.9546219758790073</v>
      </c>
      <c r="BH232" s="86">
        <f t="shared" si="152"/>
        <v>26.274006401081699</v>
      </c>
      <c r="BI232" s="162">
        <f t="shared" si="153"/>
        <v>4.9546219758790073</v>
      </c>
      <c r="BJ232" s="88"/>
      <c r="BK232" s="88"/>
      <c r="BL232" s="88"/>
      <c r="BM232" s="88"/>
      <c r="BN232" s="42"/>
      <c r="BO232" s="42"/>
      <c r="BP232" s="42"/>
    </row>
    <row r="233" spans="1:68" s="86" customFormat="1">
      <c r="A233" s="86">
        <v>169</v>
      </c>
      <c r="B233" s="86">
        <f t="shared" si="103"/>
        <v>239883.29190194918</v>
      </c>
      <c r="C233" s="86" t="str">
        <f t="shared" si="104"/>
        <v>1507231.1751162j</v>
      </c>
      <c r="D233" s="86">
        <f t="shared" si="105"/>
        <v>0.29154824581451755</v>
      </c>
      <c r="E233" s="86" t="str">
        <f t="shared" si="106"/>
        <v>-1.32213260975105j</v>
      </c>
      <c r="F233" s="86" t="str">
        <f t="shared" si="107"/>
        <v>0.291548245814518-1.32213260975105j</v>
      </c>
      <c r="G233" s="86">
        <f t="shared" si="108"/>
        <v>2.6317076159088293</v>
      </c>
      <c r="H233" s="86">
        <f t="shared" si="109"/>
        <v>-77.564514900399686</v>
      </c>
      <c r="J233" s="86">
        <f t="shared" si="110"/>
        <v>8.3707025411061284</v>
      </c>
      <c r="K233" s="86" t="str">
        <f t="shared" si="111"/>
        <v>1+64.708664128828j</v>
      </c>
      <c r="L233" s="86">
        <f t="shared" si="112"/>
        <v>-264.33074273941554</v>
      </c>
      <c r="M233" s="86" t="str">
        <f t="shared" si="113"/>
        <v>4.43912249011989j</v>
      </c>
      <c r="N233" s="86" t="str">
        <f t="shared" si="114"/>
        <v>-264.330742739416+4.43912249011989j</v>
      </c>
      <c r="O233" s="86" t="str">
        <f t="shared" si="115"/>
        <v>0.000327926696198853-0.244796378020417j</v>
      </c>
      <c r="P233" s="86" t="str">
        <f t="shared" si="116"/>
        <v>0.00274497682916828-2.04911766354908j</v>
      </c>
      <c r="R233" s="86">
        <f t="shared" si="117"/>
        <v>11.958146487294469</v>
      </c>
      <c r="S233" s="86" t="str">
        <f t="shared" si="118"/>
        <v>1+0.113042338133715j</v>
      </c>
      <c r="T233" s="86" t="str">
        <f t="shared" si="119"/>
        <v>-264.330742739416+4.43912249011989j</v>
      </c>
      <c r="U233" s="86" t="str">
        <f t="shared" si="120"/>
        <v>-0.00377489261978204-0.000491049764075066j</v>
      </c>
      <c r="V233" s="86" t="str">
        <f t="shared" si="121"/>
        <v>-0.0451407189211604-0.00587204501136103j</v>
      </c>
      <c r="X233" s="86" t="str">
        <f t="shared" si="122"/>
        <v>-0.112102234568023-0.0248775891563656j</v>
      </c>
      <c r="Y233" s="86">
        <f t="shared" si="123"/>
        <v>-18.798933367598391</v>
      </c>
      <c r="Z233" s="86">
        <f t="shared" si="124"/>
        <v>12.512237887345691</v>
      </c>
      <c r="AB233" s="86" t="str">
        <f t="shared" si="125"/>
        <v>-0.0209932234789759-0.00273086375556862j</v>
      </c>
      <c r="AC233" s="86">
        <f t="shared" si="126"/>
        <v>-33.485542635314587</v>
      </c>
      <c r="AD233" s="86">
        <f t="shared" si="127"/>
        <v>7.4115946763441798</v>
      </c>
      <c r="AF233" s="86" t="str">
        <f t="shared" si="128"/>
        <v>-0.0235390852167772-0.00373518165697238j</v>
      </c>
      <c r="AG233" s="86">
        <f t="shared" si="129"/>
        <v>-32.456209934364253</v>
      </c>
      <c r="AH233" s="86">
        <f t="shared" si="130"/>
        <v>9.0165182401758557</v>
      </c>
      <c r="AJ233" s="86" t="str">
        <f t="shared" si="131"/>
        <v>1864.12784956581-13865.7293917371j</v>
      </c>
      <c r="AK233" s="86" t="str">
        <f t="shared" si="132"/>
        <v>20000-0.000602892470046479j</v>
      </c>
      <c r="AL233" s="86" t="str">
        <f t="shared" si="146"/>
        <v>10000-14743.7384451055j</v>
      </c>
      <c r="AM233" s="86" t="str">
        <f t="shared" si="147"/>
        <v>790.235104975476-4945.28444410212j</v>
      </c>
      <c r="AN233" s="86" t="str">
        <f t="shared" si="148"/>
        <v>10790.2351049755-4945.28444410212j</v>
      </c>
      <c r="AO233" s="86" t="str">
        <f t="shared" si="149"/>
        <v>7335.56318428894-2034.06191110003j</v>
      </c>
      <c r="AP233" s="86" t="str">
        <f t="shared" si="150"/>
        <v>0.652369846466547+0.413718013683783j</v>
      </c>
      <c r="AQ233" s="86" t="str">
        <f t="shared" si="133"/>
        <v>1+46.1212739585557j</v>
      </c>
      <c r="AR233" s="86">
        <f t="shared" si="134"/>
        <v>-5.9515421946410088E-7</v>
      </c>
      <c r="AS233" s="86" t="str">
        <f t="shared" si="135"/>
        <v>0.00181330460984705j</v>
      </c>
      <c r="AT233" s="86" t="str">
        <f t="shared" si="136"/>
        <v>-5.95154219464101E-07+0.00181330460984705j</v>
      </c>
      <c r="AU233" s="86" t="str">
        <f t="shared" si="137"/>
        <v>3.8152117844235-0.0839741092394248j</v>
      </c>
      <c r="AW233" s="86" t="str">
        <f t="shared" si="151"/>
        <v>1.99219382961491-0.589455988585276j</v>
      </c>
      <c r="AX233" s="86">
        <f t="shared" si="138"/>
        <v>6.3511108065231667</v>
      </c>
      <c r="AY233" s="86">
        <f t="shared" si="139"/>
        <v>163.51741795709933</v>
      </c>
      <c r="AZ233" s="86" t="str">
        <f t="shared" si="140"/>
        <v>-0.043432294273273+0.00693417137602856j</v>
      </c>
      <c r="BA233" s="86">
        <f t="shared" si="141"/>
        <v>-27.134431828791424</v>
      </c>
      <c r="BB233" s="86">
        <f t="shared" si="142"/>
        <v>-9.0709873665564942</v>
      </c>
      <c r="BD233" s="86" t="str">
        <f t="shared" si="143"/>
        <v>-0.0490961455197992+0.00643404889733729j</v>
      </c>
      <c r="BE233" s="86">
        <f t="shared" si="144"/>
        <v>-26.105099127841108</v>
      </c>
      <c r="BF233" s="86">
        <f t="shared" si="145"/>
        <v>-7.4660638027247899</v>
      </c>
      <c r="BH233" s="86">
        <f t="shared" si="152"/>
        <v>27.105099127841108</v>
      </c>
      <c r="BI233" s="162">
        <f t="shared" si="153"/>
        <v>7.4660638027247899</v>
      </c>
      <c r="BJ233" s="88"/>
      <c r="BK233" s="88"/>
      <c r="BL233" s="88"/>
      <c r="BM233" s="88"/>
      <c r="BN233" s="42"/>
      <c r="BO233" s="42"/>
      <c r="BP233" s="42"/>
    </row>
    <row r="234" spans="1:68" s="86" customFormat="1">
      <c r="A234" s="86">
        <v>170</v>
      </c>
      <c r="B234" s="86">
        <f t="shared" si="103"/>
        <v>251188.64315095812</v>
      </c>
      <c r="C234" s="86" t="str">
        <f t="shared" si="104"/>
        <v>1578264.79197648j</v>
      </c>
      <c r="D234" s="86">
        <f t="shared" si="105"/>
        <v>0.22319809851622485</v>
      </c>
      <c r="E234" s="86" t="str">
        <f t="shared" si="106"/>
        <v>-1.38444279997937j</v>
      </c>
      <c r="F234" s="86" t="str">
        <f t="shared" si="107"/>
        <v>0.223198098516225-1.38444279997937j</v>
      </c>
      <c r="G234" s="86">
        <f t="shared" si="108"/>
        <v>2.9369378678846476</v>
      </c>
      <c r="H234" s="86">
        <f t="shared" si="109"/>
        <v>-80.841651409120033</v>
      </c>
      <c r="J234" s="86">
        <f t="shared" si="110"/>
        <v>8.3707025411061284</v>
      </c>
      <c r="K234" s="86" t="str">
        <f t="shared" si="111"/>
        <v>1+67.7582895155331j</v>
      </c>
      <c r="L234" s="86">
        <f t="shared" si="112"/>
        <v>-289.92937418024667</v>
      </c>
      <c r="M234" s="86" t="str">
        <f t="shared" si="113"/>
        <v>4.64833188769934j</v>
      </c>
      <c r="N234" s="86" t="str">
        <f t="shared" si="114"/>
        <v>-289.929374180247+4.64833188769934j</v>
      </c>
      <c r="O234" s="86" t="str">
        <f t="shared" si="115"/>
        <v>0.000297733710763903-0.233701416912339j</v>
      </c>
      <c r="P234" s="86" t="str">
        <f t="shared" si="116"/>
        <v>0.00249224032926436-1.95624504440822j</v>
      </c>
      <c r="R234" s="86">
        <f t="shared" si="117"/>
        <v>11.958146487294469</v>
      </c>
      <c r="S234" s="86" t="str">
        <f t="shared" si="118"/>
        <v>1+0.118369859398236j</v>
      </c>
      <c r="T234" s="86" t="str">
        <f t="shared" si="119"/>
        <v>-289.929374180247+4.64833188769934j</v>
      </c>
      <c r="U234" s="86" t="str">
        <f t="shared" si="120"/>
        <v>-0.00344168551531716-0.000463450646580509j</v>
      </c>
      <c r="V234" s="86" t="str">
        <f t="shared" si="121"/>
        <v>-0.0411561795553622-0.00554201072144106j</v>
      </c>
      <c r="X234" s="86" t="str">
        <f t="shared" si="122"/>
        <v>-0.112075252615178-0.0182151531619524j</v>
      </c>
      <c r="Y234" s="86">
        <f t="shared" si="123"/>
        <v>-18.896576705342444</v>
      </c>
      <c r="Z234" s="86">
        <f t="shared" si="124"/>
        <v>9.2313429100491362</v>
      </c>
      <c r="AB234" s="86" t="str">
        <f t="shared" si="125"/>
        <v>-0.0191401664748756-0.0025773774184078j</v>
      </c>
      <c r="AC234" s="86">
        <f t="shared" si="126"/>
        <v>-34.283041540898495</v>
      </c>
      <c r="AD234" s="86">
        <f t="shared" si="127"/>
        <v>7.6692050620403904</v>
      </c>
      <c r="AF234" s="86" t="str">
        <f t="shared" si="128"/>
        <v>-0.0214874787444328-0.00334349858312395j</v>
      </c>
      <c r="AG234" s="86">
        <f t="shared" si="129"/>
        <v>-33.252392033756138</v>
      </c>
      <c r="AH234" s="86">
        <f t="shared" si="130"/>
        <v>8.8444229363196314</v>
      </c>
      <c r="AJ234" s="86" t="str">
        <f t="shared" si="131"/>
        <v>1702.76473481028-13262.3862639031j</v>
      </c>
      <c r="AK234" s="86" t="str">
        <f t="shared" si="132"/>
        <v>20000-0.000631305916790591j</v>
      </c>
      <c r="AL234" s="86" t="str">
        <f t="shared" si="146"/>
        <v>10000-14080.1609053149j</v>
      </c>
      <c r="AM234" s="86" t="str">
        <f t="shared" si="147"/>
        <v>776.781334585283-4750.17751140684j</v>
      </c>
      <c r="AN234" s="86" t="str">
        <f t="shared" si="148"/>
        <v>10776.7813345853-4750.17751140684j</v>
      </c>
      <c r="AO234" s="86" t="str">
        <f t="shared" si="149"/>
        <v>7305.59203203745-1959.29173963553j</v>
      </c>
      <c r="AP234" s="86" t="str">
        <f t="shared" si="150"/>
        <v>0.670976498656101+0.410028371970082j</v>
      </c>
      <c r="AQ234" s="86" t="str">
        <f t="shared" si="133"/>
        <v>1+48.2949026344803j</v>
      </c>
      <c r="AR234" s="86">
        <f t="shared" si="134"/>
        <v>-6.6222144459932341E-7</v>
      </c>
      <c r="AS234" s="86" t="str">
        <f t="shared" si="135"/>
        <v>0.00189876302328314j</v>
      </c>
      <c r="AT234" s="86" t="str">
        <f t="shared" si="136"/>
        <v>-6.62221444599323E-07+0.00189876302328314j</v>
      </c>
      <c r="AU234" s="86" t="str">
        <f t="shared" si="137"/>
        <v>3.81521132994668-0.0803294107205839j</v>
      </c>
      <c r="AW234" s="86" t="str">
        <f t="shared" si="151"/>
        <v>1.95475912018837-0.666054082738356j</v>
      </c>
      <c r="AX234" s="86">
        <f t="shared" si="138"/>
        <v>6.2988963273027911</v>
      </c>
      <c r="AY234" s="86">
        <f t="shared" si="139"/>
        <v>161.18424670211263</v>
      </c>
      <c r="AZ234" s="86" t="str">
        <f t="shared" si="140"/>
        <v>-0.0391310877309749+0.0077102340100825j</v>
      </c>
      <c r="BA234" s="86">
        <f t="shared" si="141"/>
        <v>-27.984145213595703</v>
      </c>
      <c r="BB234" s="86">
        <f t="shared" si="142"/>
        <v>-11.146548235847007</v>
      </c>
      <c r="BD234" s="86" t="str">
        <f t="shared" si="143"/>
        <v>-0.0442297959274534+0.00777608859678469j</v>
      </c>
      <c r="BE234" s="86">
        <f t="shared" si="144"/>
        <v>-26.953495706453339</v>
      </c>
      <c r="BF234" s="86">
        <f t="shared" si="145"/>
        <v>-9.971330361567766</v>
      </c>
      <c r="BH234" s="86">
        <f t="shared" si="152"/>
        <v>27.953495706453339</v>
      </c>
      <c r="BI234" s="162">
        <f t="shared" si="153"/>
        <v>9.971330361567766</v>
      </c>
      <c r="BJ234" s="88"/>
      <c r="BK234" s="88"/>
      <c r="BL234" s="88"/>
      <c r="BM234" s="88"/>
      <c r="BN234" s="42"/>
      <c r="BO234" s="42"/>
      <c r="BP234" s="42"/>
    </row>
    <row r="235" spans="1:68" s="86" customFormat="1">
      <c r="A235" s="86">
        <v>171</v>
      </c>
      <c r="B235" s="86">
        <f t="shared" si="103"/>
        <v>263026.79918953823</v>
      </c>
      <c r="C235" s="86" t="str">
        <f t="shared" si="104"/>
        <v>1652646.12006218j</v>
      </c>
      <c r="D235" s="86">
        <f t="shared" si="105"/>
        <v>0.14825365230047949</v>
      </c>
      <c r="E235" s="86" t="str">
        <f t="shared" si="106"/>
        <v>-1.44968957900191j</v>
      </c>
      <c r="F235" s="86" t="str">
        <f t="shared" si="107"/>
        <v>0.148253652300479-1.44968957900191j</v>
      </c>
      <c r="G235" s="86">
        <f t="shared" si="108"/>
        <v>3.2706842623874466</v>
      </c>
      <c r="H235" s="86">
        <f t="shared" si="109"/>
        <v>-84.160900962784709</v>
      </c>
      <c r="J235" s="86">
        <f t="shared" si="110"/>
        <v>8.3707025411061284</v>
      </c>
      <c r="K235" s="86" t="str">
        <f t="shared" si="111"/>
        <v>1+70.9516393188124j</v>
      </c>
      <c r="L235" s="86">
        <f t="shared" si="112"/>
        <v>-317.99771540622061</v>
      </c>
      <c r="M235" s="86" t="str">
        <f t="shared" si="113"/>
        <v>4.86740102042529j</v>
      </c>
      <c r="N235" s="86" t="str">
        <f t="shared" si="114"/>
        <v>-317.997715406221+4.86740102042529j</v>
      </c>
      <c r="O235" s="86" t="str">
        <f t="shared" si="115"/>
        <v>0.000270423958365787-0.223115826371039j</v>
      </c>
      <c r="P235" s="86" t="str">
        <f t="shared" si="116"/>
        <v>0.00226363851546847-1.86763621476505j</v>
      </c>
      <c r="R235" s="86">
        <f t="shared" si="117"/>
        <v>11.958146487294469</v>
      </c>
      <c r="S235" s="86" t="str">
        <f t="shared" si="118"/>
        <v>1+0.123948459004664j</v>
      </c>
      <c r="T235" s="86" t="str">
        <f t="shared" si="119"/>
        <v>-317.997715406221+4.86740102042529j</v>
      </c>
      <c r="U235" s="86" t="str">
        <f t="shared" si="120"/>
        <v>-0.00313797540032386-0.000437808943037288j</v>
      </c>
      <c r="V235" s="86" t="str">
        <f t="shared" si="121"/>
        <v>-0.0375243695105992-0.00523538347428745j</v>
      </c>
      <c r="X235" s="86" t="str">
        <f t="shared" si="122"/>
        <v>-0.112050586436025-0.0115961883746266j</v>
      </c>
      <c r="Y235" s="86">
        <f t="shared" si="123"/>
        <v>-18.96545034213052</v>
      </c>
      <c r="Z235" s="86">
        <f t="shared" si="124"/>
        <v>5.9085434336908804</v>
      </c>
      <c r="AB235" s="86" t="str">
        <f t="shared" si="125"/>
        <v>-0.0174511503996983-0.00243477680242113j</v>
      </c>
      <c r="AC235" s="86">
        <f t="shared" si="126"/>
        <v>-35.07979255567885</v>
      </c>
      <c r="AD235" s="86">
        <f t="shared" si="127"/>
        <v>7.9426105185707172</v>
      </c>
      <c r="AF235" s="86" t="str">
        <f t="shared" si="128"/>
        <v>-0.0196141612913254-0.00299817339918074j</v>
      </c>
      <c r="AG235" s="86">
        <f t="shared" si="129"/>
        <v>-34.048297680715642</v>
      </c>
      <c r="AH235" s="86">
        <f t="shared" si="130"/>
        <v>8.6908230563089433</v>
      </c>
      <c r="AJ235" s="86" t="str">
        <f t="shared" si="131"/>
        <v>1555.15895636747-12683.5787946074j</v>
      </c>
      <c r="AK235" s="86" t="str">
        <f t="shared" si="132"/>
        <v>20000-0.000661058448024871j</v>
      </c>
      <c r="AL235" s="86" t="str">
        <f t="shared" si="146"/>
        <v>10000-13446.4492745647j</v>
      </c>
      <c r="AM235" s="86" t="str">
        <f t="shared" si="147"/>
        <v>762.546448515325-4564.13856333229j</v>
      </c>
      <c r="AN235" s="86" t="str">
        <f t="shared" si="148"/>
        <v>10762.5464485153-4564.13856333229j</v>
      </c>
      <c r="AO235" s="86" t="str">
        <f t="shared" si="149"/>
        <v>7277.23741672538-1887.63481396516j</v>
      </c>
      <c r="AP235" s="86" t="str">
        <f t="shared" si="150"/>
        <v>0.689215860654962+0.405551334015169j</v>
      </c>
      <c r="AQ235" s="86" t="str">
        <f t="shared" si="133"/>
        <v>1+50.5709712739027j</v>
      </c>
      <c r="AR235" s="86">
        <f t="shared" si="134"/>
        <v>-7.3575919463591349E-7</v>
      </c>
      <c r="AS235" s="86" t="str">
        <f t="shared" si="135"/>
        <v>0.00198824896766321j</v>
      </c>
      <c r="AT235" s="86" t="str">
        <f t="shared" si="136"/>
        <v>-7.35759194635913E-07+0.00198824896766321j</v>
      </c>
      <c r="AU235" s="86" t="str">
        <f t="shared" si="137"/>
        <v>3.81521090547984-0.0768551016439234j</v>
      </c>
      <c r="AW235" s="86" t="str">
        <f t="shared" si="151"/>
        <v>1.91055263230746-0.739361763643036j</v>
      </c>
      <c r="AX235" s="86">
        <f t="shared" si="138"/>
        <v>6.2292522496069793</v>
      </c>
      <c r="AY235" s="86">
        <f t="shared" si="139"/>
        <v>158.84413908153263</v>
      </c>
      <c r="AZ235" s="86" t="str">
        <f t="shared" si="140"/>
        <v>-0.0351415222036523+0.00825094410817401j</v>
      </c>
      <c r="BA235" s="86">
        <f t="shared" si="141"/>
        <v>-28.850540306071849</v>
      </c>
      <c r="BB235" s="86">
        <f t="shared" si="142"/>
        <v>-13.213250399896651</v>
      </c>
      <c r="BD235" s="86" t="str">
        <f t="shared" si="143"/>
        <v>-0.0396906222577708+0.00877379280481438j</v>
      </c>
      <c r="BE235" s="86">
        <f t="shared" si="144"/>
        <v>-27.819045431108655</v>
      </c>
      <c r="BF235" s="86">
        <f t="shared" si="145"/>
        <v>-12.465037862158454</v>
      </c>
      <c r="BH235" s="86">
        <f t="shared" si="152"/>
        <v>28.819045431108655</v>
      </c>
      <c r="BI235" s="162">
        <f t="shared" si="153"/>
        <v>12.465037862158454</v>
      </c>
      <c r="BJ235" s="88"/>
      <c r="BK235" s="88"/>
      <c r="BL235" s="88"/>
      <c r="BM235" s="88"/>
      <c r="BN235" s="42"/>
      <c r="BO235" s="42"/>
      <c r="BP235" s="42"/>
    </row>
    <row r="236" spans="1:68" s="86" customFormat="1">
      <c r="A236" s="86">
        <v>172</v>
      </c>
      <c r="B236" s="86">
        <f t="shared" si="103"/>
        <v>275422.87033381691</v>
      </c>
      <c r="C236" s="86" t="str">
        <f t="shared" si="104"/>
        <v>1730532.93214267j</v>
      </c>
      <c r="D236" s="86">
        <f t="shared" si="105"/>
        <v>6.6078701102876169E-2</v>
      </c>
      <c r="E236" s="86" t="str">
        <f t="shared" si="106"/>
        <v>-1.5180113439848j</v>
      </c>
      <c r="F236" s="86" t="str">
        <f t="shared" si="107"/>
        <v>0.0660787011028762-1.5180113439848j</v>
      </c>
      <c r="G236" s="86">
        <f t="shared" si="108"/>
        <v>3.633721747219341</v>
      </c>
      <c r="H236" s="86">
        <f t="shared" si="109"/>
        <v>-87.507500777808559</v>
      </c>
      <c r="J236" s="86">
        <f t="shared" si="110"/>
        <v>8.3707025411061284</v>
      </c>
      <c r="K236" s="86" t="str">
        <f t="shared" si="111"/>
        <v>1+74.2954870617394j</v>
      </c>
      <c r="L236" s="86">
        <f t="shared" si="112"/>
        <v>-348.77403956241267</v>
      </c>
      <c r="M236" s="86" t="str">
        <f t="shared" si="113"/>
        <v>5.09679456329942j</v>
      </c>
      <c r="N236" s="86" t="str">
        <f t="shared" si="114"/>
        <v>-348.774039562413+5.09679456329942j</v>
      </c>
      <c r="O236" s="86" t="str">
        <f t="shared" si="115"/>
        <v>0.000245705309465663-0.213015380518191j</v>
      </c>
      <c r="P236" s="86" t="str">
        <f t="shared" si="116"/>
        <v>0.00205672605830749-1.78308838699831j</v>
      </c>
      <c r="R236" s="86">
        <f t="shared" si="117"/>
        <v>11.958146487294469</v>
      </c>
      <c r="S236" s="86" t="str">
        <f t="shared" si="118"/>
        <v>1+0.1297899699107j</v>
      </c>
      <c r="T236" s="86" t="str">
        <f t="shared" si="119"/>
        <v>-348.774039562413+5.09679456329942j</v>
      </c>
      <c r="U236" s="86" t="str">
        <f t="shared" si="120"/>
        <v>-0.0028611367361862-0.000413943068279067j</v>
      </c>
      <c r="V236" s="86" t="str">
        <f t="shared" si="121"/>
        <v>-0.0342138922114942-0.00494999184788122j</v>
      </c>
      <c r="X236" s="86" t="str">
        <f t="shared" si="122"/>
        <v>-0.112028042180554-0.00500602765073363j</v>
      </c>
      <c r="Y236" s="86">
        <f t="shared" si="123"/>
        <v>-19.004801760909551</v>
      </c>
      <c r="Z236" s="86">
        <f t="shared" si="124"/>
        <v>2.5585877410517526</v>
      </c>
      <c r="AB236" s="86" t="str">
        <f t="shared" si="125"/>
        <v>-0.015911573905944-0.0023020520622007j</v>
      </c>
      <c r="AC236" s="86">
        <f t="shared" si="126"/>
        <v>-35.875770406428082</v>
      </c>
      <c r="AD236" s="86">
        <f t="shared" si="127"/>
        <v>8.2323078030434829</v>
      </c>
      <c r="AF236" s="86" t="str">
        <f t="shared" si="128"/>
        <v>-0.0179038205476946-0.00269341735609464j</v>
      </c>
      <c r="AG236" s="86">
        <f t="shared" si="129"/>
        <v>-34.843893453109146</v>
      </c>
      <c r="AH236" s="86">
        <f t="shared" si="130"/>
        <v>8.555314870306745</v>
      </c>
      <c r="AJ236" s="86" t="str">
        <f t="shared" si="131"/>
        <v>1420.1726093736-12128.5297436999j</v>
      </c>
      <c r="AK236" s="86" t="str">
        <f t="shared" si="132"/>
        <v>20000-0.000692213172857067j</v>
      </c>
      <c r="AL236" s="86" t="str">
        <f t="shared" si="146"/>
        <v>10000-12841.2593655225j</v>
      </c>
      <c r="AM236" s="86" t="str">
        <f t="shared" si="147"/>
        <v>747.52604692741-4386.68621607874j</v>
      </c>
      <c r="AN236" s="86" t="str">
        <f t="shared" si="148"/>
        <v>10747.5260469274-4386.68621607874j</v>
      </c>
      <c r="AO236" s="86" t="str">
        <f t="shared" si="149"/>
        <v>7250.33178264595-1818.96898514985j</v>
      </c>
      <c r="AP236" s="86" t="str">
        <f t="shared" si="150"/>
        <v>0.707023853877479+0.400331024162889j</v>
      </c>
      <c r="AQ236" s="86" t="str">
        <f t="shared" si="133"/>
        <v>1+52.9543077235657j</v>
      </c>
      <c r="AR236" s="86">
        <f t="shared" si="134"/>
        <v>-8.1639173414447482E-7</v>
      </c>
      <c r="AS236" s="86" t="str">
        <f t="shared" si="135"/>
        <v>0.00208195225467288j</v>
      </c>
      <c r="AT236" s="86" t="str">
        <f t="shared" si="136"/>
        <v>-8.16391734144475E-07+0.00208195225467288j</v>
      </c>
      <c r="AU236" s="86" t="str">
        <f t="shared" si="137"/>
        <v>3.81521050741974-0.0735438125339412j</v>
      </c>
      <c r="AW236" s="86" t="str">
        <f t="shared" si="151"/>
        <v>1.86005320889492-0.808669126077749j</v>
      </c>
      <c r="AX236" s="86">
        <f t="shared" si="138"/>
        <v>6.1423722971538153</v>
      </c>
      <c r="AY236" s="86">
        <f t="shared" si="139"/>
        <v>156.50272084460283</v>
      </c>
      <c r="AZ236" s="86" t="str">
        <f t="shared" si="140"/>
        <v>-0.0314579725316452+0.00858525923970171j</v>
      </c>
      <c r="BA236" s="86">
        <f t="shared" si="141"/>
        <v>-29.733398109274244</v>
      </c>
      <c r="BB236" s="86">
        <f t="shared" si="142"/>
        <v>-15.264971352353712</v>
      </c>
      <c r="BD236" s="86" t="str">
        <f t="shared" si="143"/>
        <v>-0.035480142320734+0.00946836731966j</v>
      </c>
      <c r="BE236" s="86">
        <f t="shared" si="144"/>
        <v>-28.701521155955291</v>
      </c>
      <c r="BF236" s="86">
        <f t="shared" si="145"/>
        <v>-14.941964285090449</v>
      </c>
      <c r="BH236" s="86">
        <f t="shared" si="152"/>
        <v>29.701521155955291</v>
      </c>
      <c r="BI236" s="162">
        <f t="shared" si="153"/>
        <v>14.941964285090449</v>
      </c>
      <c r="BJ236" s="88"/>
      <c r="BK236" s="88"/>
      <c r="BL236" s="88"/>
      <c r="BM236" s="88"/>
      <c r="BN236" s="42"/>
      <c r="BO236" s="42"/>
      <c r="BP236" s="42"/>
    </row>
    <row r="237" spans="1:68" s="86" customFormat="1">
      <c r="A237" s="86">
        <v>173</v>
      </c>
      <c r="B237" s="86">
        <f t="shared" si="103"/>
        <v>288403.15031266079</v>
      </c>
      <c r="C237" s="86" t="str">
        <f t="shared" si="104"/>
        <v>1812090.43658882j</v>
      </c>
      <c r="D237" s="86">
        <f t="shared" si="105"/>
        <v>-2.402434115441765E-2</v>
      </c>
      <c r="E237" s="86" t="str">
        <f t="shared" si="106"/>
        <v>-1.5895530145516j</v>
      </c>
      <c r="F237" s="86" t="str">
        <f t="shared" si="107"/>
        <v>-0.0240243411544176-1.5895530145516j</v>
      </c>
      <c r="G237" s="86">
        <f t="shared" si="108"/>
        <v>4.0264922855679872</v>
      </c>
      <c r="H237" s="86">
        <f t="shared" si="109"/>
        <v>-90.86589660410786</v>
      </c>
      <c r="J237" s="86">
        <f t="shared" si="110"/>
        <v>8.3707025411061284</v>
      </c>
      <c r="K237" s="86" t="str">
        <f t="shared" si="111"/>
        <v>1+77.7969254936936j</v>
      </c>
      <c r="L237" s="86">
        <f t="shared" si="112"/>
        <v>-382.51960795710892</v>
      </c>
      <c r="M237" s="86" t="str">
        <f t="shared" si="113"/>
        <v>5.33699909078144j</v>
      </c>
      <c r="N237" s="86" t="str">
        <f t="shared" si="114"/>
        <v>-382.519607957109+5.33699909078144j</v>
      </c>
      <c r="O237" s="86" t="str">
        <f t="shared" si="115"/>
        <v>0.000223317882227325-0.203377113298418j</v>
      </c>
      <c r="P237" s="86" t="str">
        <f t="shared" si="116"/>
        <v>0.00186932756423471-1.7024093190899j</v>
      </c>
      <c r="R237" s="86">
        <f t="shared" si="117"/>
        <v>11.958146487294469</v>
      </c>
      <c r="S237" s="86" t="str">
        <f t="shared" si="118"/>
        <v>1+0.135906782744161j</v>
      </c>
      <c r="T237" s="86" t="str">
        <f t="shared" si="119"/>
        <v>-382.519607957109+5.33699909078144j</v>
      </c>
      <c r="U237" s="86" t="str">
        <f t="shared" si="120"/>
        <v>-0.00260878009863972-0.000391691920209878j</v>
      </c>
      <c r="V237" s="86" t="str">
        <f t="shared" si="121"/>
        <v>-0.0311961745726723-0.00468390935975938j</v>
      </c>
      <c r="X237" s="86" t="str">
        <f t="shared" si="122"/>
        <v>-0.112007441364159+0.00156985334813493j</v>
      </c>
      <c r="Y237" s="86">
        <f t="shared" si="123"/>
        <v>-19.014209435260085</v>
      </c>
      <c r="Z237" s="86">
        <f t="shared" si="124"/>
        <v>-0.80298309928181766</v>
      </c>
      <c r="AB237" s="86" t="str">
        <f t="shared" si="125"/>
        <v>-0.0145081487434232-0.00217830726436662j</v>
      </c>
      <c r="AC237" s="86">
        <f t="shared" si="126"/>
        <v>-36.670943643382955</v>
      </c>
      <c r="AD237" s="86">
        <f t="shared" si="127"/>
        <v>8.5388181778649539</v>
      </c>
      <c r="AF237" s="86" t="str">
        <f t="shared" si="128"/>
        <v>-0.0163424278799248-0.00242417802751594j</v>
      </c>
      <c r="AG237" s="86">
        <f t="shared" si="129"/>
        <v>-35.639143744864782</v>
      </c>
      <c r="AH237" s="86">
        <f t="shared" si="130"/>
        <v>8.4375269263520352</v>
      </c>
      <c r="AJ237" s="86" t="str">
        <f t="shared" si="131"/>
        <v>1296.75607421294-11596.4568501052j</v>
      </c>
      <c r="AK237" s="86" t="str">
        <f t="shared" si="132"/>
        <v>20000-0.000724836174635527j</v>
      </c>
      <c r="AL237" s="86" t="str">
        <f t="shared" si="146"/>
        <v>10000-12263.3074892523j</v>
      </c>
      <c r="AM237" s="86" t="str">
        <f t="shared" si="147"/>
        <v>731.722247789286-4217.35480656536j</v>
      </c>
      <c r="AN237" s="86" t="str">
        <f t="shared" si="148"/>
        <v>10731.7222477893-4217.35480656536j</v>
      </c>
      <c r="AO237" s="86" t="str">
        <f t="shared" si="149"/>
        <v>7224.72283975306-1753.16822938057j</v>
      </c>
      <c r="AP237" s="86" t="str">
        <f t="shared" si="150"/>
        <v>0.724342950476287+0.394417419291422j</v>
      </c>
      <c r="AQ237" s="86" t="str">
        <f t="shared" si="133"/>
        <v>1+55.4499673596179j</v>
      </c>
      <c r="AR237" s="86">
        <f t="shared" si="134"/>
        <v>-9.0480355561525782E-7</v>
      </c>
      <c r="AS237" s="86" t="str">
        <f t="shared" si="135"/>
        <v>0.00218007164154691j</v>
      </c>
      <c r="AT237" s="86" t="str">
        <f t="shared" si="136"/>
        <v>-9.04803555615258E-07+0.00218007164154691j</v>
      </c>
      <c r="AU237" s="86" t="str">
        <f t="shared" si="137"/>
        <v>3.8152101323872-0.0703885197021867j</v>
      </c>
      <c r="AW237" s="86" t="str">
        <f t="shared" si="151"/>
        <v>1.80382888863657-0.873350284358216j</v>
      </c>
      <c r="AX237" s="86">
        <f t="shared" si="138"/>
        <v>6.0385202919922776</v>
      </c>
      <c r="AY237" s="86">
        <f t="shared" si="139"/>
        <v>154.1653724810277</v>
      </c>
      <c r="AZ237" s="86" t="str">
        <f t="shared" si="140"/>
        <v>-0.0280726430927773+0.00874140225878857j</v>
      </c>
      <c r="BA237" s="86">
        <f t="shared" si="141"/>
        <v>-30.632423351390674</v>
      </c>
      <c r="BB237" s="86">
        <f t="shared" si="142"/>
        <v>-17.2958093411074</v>
      </c>
      <c r="BD237" s="86" t="str">
        <f t="shared" si="143"/>
        <v>-0.0315961000899342+0.00989986167880477j</v>
      </c>
      <c r="BE237" s="86">
        <f t="shared" si="144"/>
        <v>-29.600623452872451</v>
      </c>
      <c r="BF237" s="86">
        <f t="shared" si="145"/>
        <v>-17.397100592620319</v>
      </c>
      <c r="BH237" s="86">
        <f t="shared" si="152"/>
        <v>30.600623452872451</v>
      </c>
      <c r="BI237" s="162">
        <f t="shared" si="153"/>
        <v>17.397100592620319</v>
      </c>
      <c r="BJ237" s="88"/>
      <c r="BK237" s="88"/>
      <c r="BL237" s="88"/>
      <c r="BM237" s="88"/>
      <c r="BN237" s="42"/>
      <c r="BO237" s="42"/>
      <c r="BP237" s="42"/>
    </row>
    <row r="238" spans="1:68" s="86" customFormat="1">
      <c r="A238" s="86">
        <v>174</v>
      </c>
      <c r="B238" s="86">
        <f t="shared" si="103"/>
        <v>301995.17204020178</v>
      </c>
      <c r="C238" s="86" t="str">
        <f t="shared" si="104"/>
        <v>1897491.62780217j</v>
      </c>
      <c r="D238" s="86">
        <f t="shared" si="105"/>
        <v>-0.12282036239570782</v>
      </c>
      <c r="E238" s="86" t="str">
        <f t="shared" si="106"/>
        <v>-1.66446634017734j</v>
      </c>
      <c r="F238" s="86" t="str">
        <f t="shared" si="107"/>
        <v>-0.122820362395708-1.66446634017734j</v>
      </c>
      <c r="G238" s="86">
        <f t="shared" si="108"/>
        <v>4.4490831396089643</v>
      </c>
      <c r="H238" s="86">
        <f t="shared" si="109"/>
        <v>-94.220186190343526</v>
      </c>
      <c r="J238" s="86">
        <f t="shared" si="110"/>
        <v>8.3707025411061284</v>
      </c>
      <c r="K238" s="86" t="str">
        <f t="shared" si="111"/>
        <v>1+81.4633816350353j</v>
      </c>
      <c r="L238" s="86">
        <f t="shared" si="112"/>
        <v>-419.52088791835166</v>
      </c>
      <c r="M238" s="86" t="str">
        <f t="shared" si="113"/>
        <v>5.58852410887893j</v>
      </c>
      <c r="N238" s="86" t="str">
        <f t="shared" si="114"/>
        <v>-419.520887918352+5.58852410887893j</v>
      </c>
      <c r="O238" s="86" t="str">
        <f t="shared" si="115"/>
        <v>0.000203030085487784-0.194179239562351j</v>
      </c>
      <c r="P238" s="86" t="str">
        <f t="shared" si="116"/>
        <v>0.00169950445251359-1.62541665403463j</v>
      </c>
      <c r="R238" s="86">
        <f t="shared" si="117"/>
        <v>11.958146487294469</v>
      </c>
      <c r="S238" s="86" t="str">
        <f t="shared" si="118"/>
        <v>1+0.142311872085163j</v>
      </c>
      <c r="T238" s="86" t="str">
        <f t="shared" si="119"/>
        <v>-419.520887918352+5.58852410887893j</v>
      </c>
      <c r="U238" s="86" t="str">
        <f t="shared" si="120"/>
        <v>-0.00237873053835163-0.000370912318143148j</v>
      </c>
      <c r="V238" s="86" t="str">
        <f t="shared" si="121"/>
        <v>-0.0284452082314096-0.00443542383429773j</v>
      </c>
      <c r="X238" s="86" t="str">
        <f t="shared" si="122"/>
        <v>-0.11198861980592+0.00814587766082825j</v>
      </c>
      <c r="Y238" s="86">
        <f t="shared" si="123"/>
        <v>-18.993604724677859</v>
      </c>
      <c r="Z238" s="86">
        <f t="shared" si="124"/>
        <v>-4.1602788449459922</v>
      </c>
      <c r="AB238" s="86" t="str">
        <f t="shared" si="125"/>
        <v>-0.0132287794164497-0.00206274614146076j</v>
      </c>
      <c r="AC238" s="86">
        <f t="shared" si="126"/>
        <v>-37.465274460450985</v>
      </c>
      <c r="AD238" s="86">
        <f t="shared" si="127"/>
        <v>8.8626868710775852</v>
      </c>
      <c r="AF238" s="86" t="str">
        <f t="shared" si="128"/>
        <v>-0.0149171361632189-0.00218604515496298j</v>
      </c>
      <c r="AG238" s="86">
        <f t="shared" si="129"/>
        <v>-36.434010520081635</v>
      </c>
      <c r="AH238" s="86">
        <f t="shared" si="130"/>
        <v>8.3371177958262592</v>
      </c>
      <c r="AJ238" s="86" t="str">
        <f t="shared" si="131"/>
        <v>1183.94215154991-11086.5777810163j</v>
      </c>
      <c r="AK238" s="86" t="str">
        <f t="shared" si="132"/>
        <v>20000-0.000758996651120867j</v>
      </c>
      <c r="AL238" s="86" t="str">
        <f t="shared" si="146"/>
        <v>10000-11711.3677323371j</v>
      </c>
      <c r="AM238" s="86" t="str">
        <f t="shared" si="147"/>
        <v>715.144371430702-4055.69426579899j</v>
      </c>
      <c r="AN238" s="86" t="str">
        <f t="shared" si="148"/>
        <v>10715.1443714307-4055.69426579899j</v>
      </c>
      <c r="AO238" s="86" t="str">
        <f t="shared" si="149"/>
        <v>7200.27316621482-1690.10377303115j</v>
      </c>
      <c r="AP238" s="86" t="str">
        <f t="shared" si="150"/>
        <v>0.741122753165118+0.387865242124349j</v>
      </c>
      <c r="AQ238" s="86" t="str">
        <f t="shared" si="133"/>
        <v>1+58.0632438107464j</v>
      </c>
      <c r="AR238" s="86">
        <f t="shared" si="134"/>
        <v>-1.001745190139275E-6</v>
      </c>
      <c r="AS238" s="86" t="str">
        <f t="shared" si="135"/>
        <v>0.00228281525265996j</v>
      </c>
      <c r="AT238" s="86" t="str">
        <f t="shared" si="136"/>
        <v>-1.00174519013927E-06+0.00228281525265996j</v>
      </c>
      <c r="AU238" s="86" t="str">
        <f t="shared" si="137"/>
        <v>3.81520977719856-0.0673825303490706j</v>
      </c>
      <c r="AW238" s="86" t="str">
        <f t="shared" si="151"/>
        <v>1.74251982274904-0.932875392453627j</v>
      </c>
      <c r="AX238" s="86">
        <f t="shared" si="138"/>
        <v>5.9180248429665339</v>
      </c>
      <c r="AY238" s="86">
        <f t="shared" si="139"/>
        <v>151.83718524638977</v>
      </c>
      <c r="AZ238" s="86" t="str">
        <f t="shared" si="140"/>
        <v>-0.0249756954801854+0.00874642674900847j</v>
      </c>
      <c r="BA238" s="86">
        <f t="shared" si="141"/>
        <v>-31.547249617484489</v>
      </c>
      <c r="BB238" s="86">
        <f t="shared" si="142"/>
        <v>-19.300127882532621</v>
      </c>
      <c r="BD238" s="86" t="str">
        <f t="shared" si="143"/>
        <v>-0.0280327131949129+0.0101066022365995j</v>
      </c>
      <c r="BE238" s="86">
        <f t="shared" si="144"/>
        <v>-30.515985677115104</v>
      </c>
      <c r="BF238" s="86">
        <f t="shared" si="145"/>
        <v>-19.825696957783919</v>
      </c>
      <c r="BH238" s="86">
        <f t="shared" si="152"/>
        <v>31.515985677115104</v>
      </c>
      <c r="BI238" s="162">
        <f t="shared" si="153"/>
        <v>19.825696957783919</v>
      </c>
      <c r="BJ238" s="88"/>
      <c r="BK238" s="88"/>
      <c r="BL238" s="88"/>
      <c r="BM238" s="88"/>
      <c r="BN238" s="42"/>
      <c r="BO238" s="42"/>
      <c r="BP238" s="42"/>
    </row>
    <row r="239" spans="1:68" s="86" customFormat="1">
      <c r="A239" s="86">
        <v>175</v>
      </c>
      <c r="B239" s="86">
        <f t="shared" si="103"/>
        <v>316227.76601683802</v>
      </c>
      <c r="C239" s="86" t="str">
        <f t="shared" si="104"/>
        <v>1986917.65315922j</v>
      </c>
      <c r="D239" s="86">
        <f t="shared" si="105"/>
        <v>-0.23114804555247659</v>
      </c>
      <c r="E239" s="86" t="str">
        <f t="shared" si="106"/>
        <v>-1.74291022206949j</v>
      </c>
      <c r="F239" s="86" t="str">
        <f t="shared" si="107"/>
        <v>-0.231148045552477-1.74291022206949j</v>
      </c>
      <c r="G239" s="86">
        <f t="shared" si="108"/>
        <v>4.901222522144673</v>
      </c>
      <c r="H239" s="86">
        <f t="shared" si="109"/>
        <v>-97.554588882797802</v>
      </c>
      <c r="J239" s="86">
        <f t="shared" si="110"/>
        <v>8.3707025411061284</v>
      </c>
      <c r="K239" s="86" t="str">
        <f t="shared" si="111"/>
        <v>1+85.3026325308106j</v>
      </c>
      <c r="L239" s="86">
        <f t="shared" si="112"/>
        <v>-460.09198462524239</v>
      </c>
      <c r="M239" s="86" t="str">
        <f t="shared" si="113"/>
        <v>5.85190313587783j</v>
      </c>
      <c r="N239" s="86" t="str">
        <f t="shared" si="114"/>
        <v>-460.091984625242+5.85190313587783j</v>
      </c>
      <c r="O239" s="86" t="str">
        <f t="shared" si="115"/>
        <v>0.000184635202817383-0.185401082639961j</v>
      </c>
      <c r="P239" s="86" t="str">
        <f t="shared" si="116"/>
        <v>0.00154552636140111-1.55193731357815j</v>
      </c>
      <c r="R239" s="86">
        <f t="shared" si="117"/>
        <v>11.958146487294469</v>
      </c>
      <c r="S239" s="86" t="str">
        <f t="shared" si="118"/>
        <v>1+0.149018823986941j</v>
      </c>
      <c r="T239" s="86" t="str">
        <f t="shared" si="119"/>
        <v>-460.091984625242+5.85190313587783j</v>
      </c>
      <c r="U239" s="86" t="str">
        <f t="shared" si="120"/>
        <v>-0.00216900799249831-0.000351476778696122j</v>
      </c>
      <c r="V239" s="86" t="str">
        <f t="shared" si="121"/>
        <v>-0.0259373153064073-0.00420301080653061j</v>
      </c>
      <c r="X239" s="86" t="str">
        <f t="shared" si="122"/>
        <v>-0.111971426610071+0.0147364069051057j</v>
      </c>
      <c r="Y239" s="86">
        <f t="shared" si="123"/>
        <v>-18.943276385496802</v>
      </c>
      <c r="Z239" s="86">
        <f t="shared" si="124"/>
        <v>-7.4975298072889416</v>
      </c>
      <c r="AB239" s="86" t="str">
        <f t="shared" si="125"/>
        <v>-0.0120624542471969-0.00195465972307956j</v>
      </c>
      <c r="AC239" s="86">
        <f t="shared" si="126"/>
        <v>-38.258718476172554</v>
      </c>
      <c r="AD239" s="86">
        <f t="shared" si="127"/>
        <v>9.2044823993589944</v>
      </c>
      <c r="AF239" s="86" t="str">
        <f t="shared" si="128"/>
        <v>-0.0136161847676473-0.00197516852093253j</v>
      </c>
      <c r="AG239" s="86">
        <f t="shared" si="129"/>
        <v>-37.228453062274042</v>
      </c>
      <c r="AH239" s="86">
        <f t="shared" si="130"/>
        <v>8.2537737675945948</v>
      </c>
      <c r="AJ239" s="86" t="str">
        <f t="shared" si="131"/>
        <v>1080.84041397062-10598.114335411j</v>
      </c>
      <c r="AK239" s="86" t="str">
        <f t="shared" si="132"/>
        <v>20000-0.000794767061263687j</v>
      </c>
      <c r="AL239" s="86" t="str">
        <f t="shared" si="146"/>
        <v>10000-11184.2693565527j</v>
      </c>
      <c r="AM239" s="86" t="str">
        <f t="shared" si="147"/>
        <v>697.809543264853-3901.27017618887j</v>
      </c>
      <c r="AN239" s="86" t="str">
        <f t="shared" si="148"/>
        <v>10697.8095432649-3901.27017618887j</v>
      </c>
      <c r="AO239" s="86" t="str">
        <f t="shared" si="149"/>
        <v>7176.8597975112-1629.64517598191j</v>
      </c>
      <c r="AP239" s="86" t="str">
        <f t="shared" si="150"/>
        <v>0.757320368065092+0.380732812297965j</v>
      </c>
      <c r="AQ239" s="86" t="str">
        <f t="shared" si="133"/>
        <v>1+60.7996801866721j</v>
      </c>
      <c r="AR239" s="86">
        <f t="shared" si="134"/>
        <v>-1.1080395786933367E-6</v>
      </c>
      <c r="AS239" s="86" t="str">
        <f t="shared" si="135"/>
        <v>0.00239040102098626j</v>
      </c>
      <c r="AT239" s="86" t="str">
        <f t="shared" si="136"/>
        <v>-1.10803957869334E-06+0.00239040102098626j</v>
      </c>
      <c r="AU239" s="86" t="str">
        <f t="shared" si="137"/>
        <v>3.81520943883862-0.0645194683675314j</v>
      </c>
      <c r="AW239" s="86" t="str">
        <f t="shared" si="151"/>
        <v>1.67681964778106-0.986818831395601j</v>
      </c>
      <c r="AX239" s="86">
        <f t="shared" si="138"/>
        <v>5.7812732753239509</v>
      </c>
      <c r="AY239" s="86">
        <f t="shared" si="139"/>
        <v>149.52292301534834</v>
      </c>
      <c r="AZ239" s="86" t="str">
        <f t="shared" si="140"/>
        <v>-0.0221554553058652+0.0086258451755956j</v>
      </c>
      <c r="BA239" s="86">
        <f t="shared" si="141"/>
        <v>-32.477445200848635</v>
      </c>
      <c r="BB239" s="86">
        <f t="shared" si="142"/>
        <v>-21.272594585292609</v>
      </c>
      <c r="BD239" s="86" t="str">
        <f t="shared" si="143"/>
        <v>-0.0247810196378441+0.0101247061568979j</v>
      </c>
      <c r="BE239" s="86">
        <f t="shared" si="144"/>
        <v>-31.44717978695013</v>
      </c>
      <c r="BF239" s="86">
        <f t="shared" si="145"/>
        <v>-22.223303217057008</v>
      </c>
      <c r="BH239" s="86">
        <f t="shared" si="152"/>
        <v>32.44717978695013</v>
      </c>
      <c r="BI239" s="162">
        <f t="shared" si="153"/>
        <v>22.223303217057008</v>
      </c>
      <c r="BJ239" s="88"/>
      <c r="BK239" s="88"/>
      <c r="BL239" s="88"/>
      <c r="BM239" s="88"/>
      <c r="BN239" s="42"/>
      <c r="BO239" s="42"/>
      <c r="BP239" s="42"/>
    </row>
    <row r="240" spans="1:68" s="86" customFormat="1">
      <c r="A240" s="86">
        <v>176</v>
      </c>
      <c r="B240" s="86">
        <f t="shared" si="103"/>
        <v>331131.12148259114</v>
      </c>
      <c r="C240" s="86" t="str">
        <f t="shared" si="104"/>
        <v>2080558.19724932j</v>
      </c>
      <c r="D240" s="86">
        <f t="shared" si="105"/>
        <v>-0.34992698817259482</v>
      </c>
      <c r="E240" s="86" t="str">
        <f t="shared" si="106"/>
        <v>-1.8250510502187j</v>
      </c>
      <c r="F240" s="86" t="str">
        <f t="shared" si="107"/>
        <v>-0.349926988172595-1.8250510502187j</v>
      </c>
      <c r="G240" s="86">
        <f t="shared" si="108"/>
        <v>5.3822930741931483</v>
      </c>
      <c r="H240" s="86">
        <f t="shared" si="109"/>
        <v>-100.85390604405461</v>
      </c>
      <c r="J240" s="86">
        <f t="shared" si="110"/>
        <v>8.3707025411061284</v>
      </c>
      <c r="K240" s="86" t="str">
        <f t="shared" si="111"/>
        <v>1+89.3228217469074j</v>
      </c>
      <c r="L240" s="86">
        <f t="shared" si="112"/>
        <v>-504.57730755796973</v>
      </c>
      <c r="M240" s="86" t="str">
        <f t="shared" si="113"/>
        <v>6.12769483400627j</v>
      </c>
      <c r="N240" s="86" t="str">
        <f t="shared" si="114"/>
        <v>-504.57730755797+6.12769483400627j</v>
      </c>
      <c r="O240" s="86" t="str">
        <f t="shared" si="115"/>
        <v>0.000167948436491754-0.177023007717957j</v>
      </c>
      <c r="P240" s="86" t="str">
        <f t="shared" si="116"/>
        <v>0.00140584640411633-1.48180694053895j</v>
      </c>
      <c r="R240" s="86">
        <f t="shared" si="117"/>
        <v>11.958146487294469</v>
      </c>
      <c r="S240" s="86" t="str">
        <f t="shared" si="118"/>
        <v>1+0.156041864793699j</v>
      </c>
      <c r="T240" s="86" t="str">
        <f t="shared" si="119"/>
        <v>-504.57730755797+6.12769483400627j</v>
      </c>
      <c r="U240" s="86" t="str">
        <f t="shared" si="120"/>
        <v>-0.00197780954175596-0.000333271583138022j</v>
      </c>
      <c r="V240" s="86" t="str">
        <f t="shared" si="121"/>
        <v>-0.0236509362242865-0.003985310411217j</v>
      </c>
      <c r="X240" s="86" t="str">
        <f t="shared" si="122"/>
        <v>-0.111955723195648+0.0213557798023672j</v>
      </c>
      <c r="Y240" s="86">
        <f t="shared" si="123"/>
        <v>-18.863857241075436</v>
      </c>
      <c r="Z240" s="86">
        <f t="shared" si="124"/>
        <v>-10.799547382863125</v>
      </c>
      <c r="AB240" s="86" t="str">
        <f t="shared" si="125"/>
        <v>-0.0109991467019083-0.00185341558786182j</v>
      </c>
      <c r="AC240" s="86">
        <f t="shared" si="126"/>
        <v>-39.051224476622096</v>
      </c>
      <c r="AD240" s="86">
        <f t="shared" si="127"/>
        <v>9.5647957255946778</v>
      </c>
      <c r="AF240" s="86" t="str">
        <f t="shared" si="128"/>
        <v>-0.0124288113819693-0.00178818632162998j</v>
      </c>
      <c r="AG240" s="86">
        <f t="shared" si="129"/>
        <v>-38.022427718675601</v>
      </c>
      <c r="AH240" s="86">
        <f t="shared" si="130"/>
        <v>8.1872064639584323</v>
      </c>
      <c r="AJ240" s="86" t="str">
        <f t="shared" si="131"/>
        <v>986.631800727599-10130.2959861097j</v>
      </c>
      <c r="AK240" s="86" t="str">
        <f t="shared" si="132"/>
        <v>20000-0.000832223278899727j</v>
      </c>
      <c r="AL240" s="86" t="str">
        <f t="shared" si="146"/>
        <v>10000-10680.8943155745j</v>
      </c>
      <c r="AM240" s="86" t="str">
        <f t="shared" si="147"/>
        <v>679.743182568705-3753.66400326998j</v>
      </c>
      <c r="AN240" s="86" t="str">
        <f t="shared" si="148"/>
        <v>10679.7431825687-3753.66400326998j</v>
      </c>
      <c r="AO240" s="86" t="str">
        <f t="shared" si="149"/>
        <v>7154.37379287215-1571.66138386868j</v>
      </c>
      <c r="AP240" s="86" t="str">
        <f t="shared" si="150"/>
        <v>0.772900574869656+0.373080896287278j</v>
      </c>
      <c r="AQ240" s="86" t="str">
        <f t="shared" si="133"/>
        <v>1+63.6650808358292j</v>
      </c>
      <c r="AR240" s="86">
        <f t="shared" si="134"/>
        <v>-1.2245890581152499E-6</v>
      </c>
      <c r="AS240" s="86" t="str">
        <f t="shared" si="135"/>
        <v>0.00250305715036474j</v>
      </c>
      <c r="AT240" s="86" t="str">
        <f t="shared" si="136"/>
        <v>-1.22458905811525E-06+0.00250305715036474j</v>
      </c>
      <c r="AU240" s="86" t="str">
        <f t="shared" si="137"/>
        <v>3.81520911443502-0.0617932608184437j</v>
      </c>
      <c r="AW240" s="86" t="str">
        <f t="shared" si="151"/>
        <v>1.60745623457478-1.03486345038268j</v>
      </c>
      <c r="AX240" s="86">
        <f t="shared" si="138"/>
        <v>5.6287049718977968</v>
      </c>
      <c r="AY240" s="86">
        <f t="shared" si="139"/>
        <v>147.22699055437613</v>
      </c>
      <c r="AZ240" s="86" t="str">
        <f t="shared" si="140"/>
        <v>-0.0195986789912329+0.00840333046523557j</v>
      </c>
      <c r="BA240" s="86">
        <f t="shared" si="141"/>
        <v>-33.422519504724278</v>
      </c>
      <c r="BB240" s="86">
        <f t="shared" si="142"/>
        <v>-23.208213720029192</v>
      </c>
      <c r="BD240" s="86" t="str">
        <f t="shared" si="143"/>
        <v>-0.0218292990110297+0.00998769137961487j</v>
      </c>
      <c r="BE240" s="86">
        <f t="shared" si="144"/>
        <v>-32.393722746777783</v>
      </c>
      <c r="BF240" s="86">
        <f t="shared" si="145"/>
        <v>-24.585802981665523</v>
      </c>
      <c r="BH240" s="86">
        <f t="shared" si="152"/>
        <v>33.393722746777783</v>
      </c>
      <c r="BI240" s="162">
        <f t="shared" si="153"/>
        <v>24.585802981665523</v>
      </c>
      <c r="BJ240" s="88"/>
      <c r="BK240" s="88"/>
      <c r="BL240" s="88"/>
      <c r="BM240" s="88"/>
      <c r="BN240" s="42"/>
      <c r="BO240" s="42"/>
      <c r="BP240" s="42"/>
    </row>
    <row r="241" spans="1:68" s="86" customFormat="1">
      <c r="A241" s="86">
        <v>177</v>
      </c>
      <c r="B241" s="86">
        <f t="shared" si="103"/>
        <v>346736.85045253224</v>
      </c>
      <c r="C241" s="86" t="str">
        <f t="shared" si="104"/>
        <v>2178611.88422108j</v>
      </c>
      <c r="D241" s="86">
        <f t="shared" si="105"/>
        <v>-0.48016550891649468</v>
      </c>
      <c r="E241" s="86" t="str">
        <f t="shared" si="106"/>
        <v>-1.91106305633428j</v>
      </c>
      <c r="F241" s="86" t="str">
        <f t="shared" si="107"/>
        <v>-0.480165508916495-1.91106305633428j</v>
      </c>
      <c r="G241" s="86">
        <f t="shared" si="108"/>
        <v>5.8913617583531934</v>
      </c>
      <c r="H241" s="86">
        <f t="shared" si="109"/>
        <v>-104.10393825731529</v>
      </c>
      <c r="J241" s="86">
        <f t="shared" si="110"/>
        <v>8.3707025411061284</v>
      </c>
      <c r="K241" s="86" t="str">
        <f t="shared" si="111"/>
        <v>1+93.5324766436486j</v>
      </c>
      <c r="L241" s="86">
        <f t="shared" si="112"/>
        <v>-553.35449420209284</v>
      </c>
      <c r="M241" s="86" t="str">
        <f t="shared" si="113"/>
        <v>6.416484194432j</v>
      </c>
      <c r="N241" s="86" t="str">
        <f t="shared" si="114"/>
        <v>-553.354494202093+6.416484194432j</v>
      </c>
      <c r="O241" s="86" t="str">
        <f t="shared" si="115"/>
        <v>0.000152804343260679-0.169026360419938j</v>
      </c>
      <c r="P241" s="86" t="str">
        <f t="shared" si="116"/>
        <v>0.00127907970442422-1.4148693846811j</v>
      </c>
      <c r="R241" s="86">
        <f t="shared" si="117"/>
        <v>11.958146487294469</v>
      </c>
      <c r="S241" s="86" t="str">
        <f t="shared" si="118"/>
        <v>1+0.163395891316581j</v>
      </c>
      <c r="T241" s="86" t="str">
        <f t="shared" si="119"/>
        <v>-553.354494202093+6.416484194432j</v>
      </c>
      <c r="U241" s="86" t="str">
        <f t="shared" si="120"/>
        <v>-0.00180349332953226-0.00031619509662171j</v>
      </c>
      <c r="V241" s="86" t="str">
        <f t="shared" si="121"/>
        <v>-0.0215664374234052-0.00378110728396664j</v>
      </c>
      <c r="X241" s="86" t="str">
        <f t="shared" si="122"/>
        <v>-0.111941382377316+0.0280183495934735j</v>
      </c>
      <c r="Y241" s="86">
        <f t="shared" si="123"/>
        <v>-18.75629442280286</v>
      </c>
      <c r="Z241" s="86">
        <f t="shared" si="124"/>
        <v>-14.05214135680049</v>
      </c>
      <c r="AB241" s="86" t="str">
        <f t="shared" si="125"/>
        <v>-0.0100297259612908-0.00175844851627043j</v>
      </c>
      <c r="AC241" s="86">
        <f t="shared" si="126"/>
        <v>-39.84273412157907</v>
      </c>
      <c r="AD241" s="86">
        <f t="shared" si="127"/>
        <v>9.9442392205307044</v>
      </c>
      <c r="AF241" s="86" t="str">
        <f t="shared" si="128"/>
        <v>-0.0113451703334344-0.00162216270309628j</v>
      </c>
      <c r="AG241" s="86">
        <f t="shared" si="129"/>
        <v>-38.815887639964295</v>
      </c>
      <c r="AH241" s="86">
        <f t="shared" si="130"/>
        <v>8.1371503505113765</v>
      </c>
      <c r="AJ241" s="86" t="str">
        <f t="shared" si="131"/>
        <v>900.563473196378-9682.3628374671j</v>
      </c>
      <c r="AK241" s="86" t="str">
        <f t="shared" si="132"/>
        <v>20000-0.00087144475368843j</v>
      </c>
      <c r="AL241" s="86" t="str">
        <f t="shared" si="146"/>
        <v>10000-10200.1748834521j</v>
      </c>
      <c r="AM241" s="86" t="str">
        <f t="shared" si="147"/>
        <v>660.979345178739-3612.47348485341j</v>
      </c>
      <c r="AN241" s="86" t="str">
        <f t="shared" si="148"/>
        <v>10660.9793451787-3612.47348485341j</v>
      </c>
      <c r="AO241" s="86" t="str">
        <f t="shared" si="149"/>
        <v>7132.71976766427-1516.02175562875j</v>
      </c>
      <c r="AP241" s="86" t="str">
        <f t="shared" si="150"/>
        <v>0.787835806926229+0.364971593416685j</v>
      </c>
      <c r="AQ241" s="86" t="str">
        <f t="shared" si="133"/>
        <v>1+66.6655236571651j</v>
      </c>
      <c r="AR241" s="86">
        <f t="shared" si="134"/>
        <v>-1.3523830210732151E-6</v>
      </c>
      <c r="AS241" s="86" t="str">
        <f t="shared" si="135"/>
        <v>0.00262102259954986j</v>
      </c>
      <c r="AT241" s="86" t="str">
        <f t="shared" si="136"/>
        <v>-1.35238302107322E-06+0.00262102259954986j</v>
      </c>
      <c r="AU241" s="86" t="str">
        <f t="shared" si="137"/>
        <v>3.81520880123389-0.0591981250490878j</v>
      </c>
      <c r="AW241" s="86" t="str">
        <f t="shared" si="151"/>
        <v>1.5351726954371-1.07680097689363j</v>
      </c>
      <c r="AX241" s="86">
        <f t="shared" si="138"/>
        <v>5.4608043049091428</v>
      </c>
      <c r="AY241" s="86">
        <f t="shared" si="139"/>
        <v>144.95340856562385</v>
      </c>
      <c r="AZ241" s="86" t="str">
        <f t="shared" si="140"/>
        <v>-0.0172908605186275+0.00810049656458311j</v>
      </c>
      <c r="BA241" s="86">
        <f t="shared" si="141"/>
        <v>-34.381929816669881</v>
      </c>
      <c r="BB241" s="86">
        <f t="shared" si="142"/>
        <v>-25.102352213845393</v>
      </c>
      <c r="BD241" s="86" t="str">
        <f t="shared" si="143"/>
        <v>-0.0191635421043461+0.00972619060871697j</v>
      </c>
      <c r="BE241" s="86">
        <f t="shared" si="144"/>
        <v>-33.355083335055113</v>
      </c>
      <c r="BF241" s="86">
        <f t="shared" si="145"/>
        <v>-26.909441083864692</v>
      </c>
      <c r="BH241" s="86">
        <f t="shared" si="152"/>
        <v>34.355083335055113</v>
      </c>
      <c r="BI241" s="162">
        <f t="shared" si="153"/>
        <v>26.909441083864692</v>
      </c>
      <c r="BJ241" s="88"/>
      <c r="BK241" s="88"/>
      <c r="BL241" s="88"/>
      <c r="BM241" s="88"/>
      <c r="BN241" s="42"/>
      <c r="BO241" s="42"/>
      <c r="BP241" s="42"/>
    </row>
    <row r="242" spans="1:68" s="86" customFormat="1">
      <c r="A242" s="86">
        <v>178</v>
      </c>
      <c r="B242" s="86">
        <f t="shared" si="103"/>
        <v>363078.05477010191</v>
      </c>
      <c r="C242" s="86" t="str">
        <f t="shared" si="104"/>
        <v>2281286.69909085j</v>
      </c>
      <c r="D242" s="86">
        <f t="shared" si="105"/>
        <v>-0.62296920721011118</v>
      </c>
      <c r="E242" s="86" t="str">
        <f t="shared" si="106"/>
        <v>-2.00112868341303j</v>
      </c>
      <c r="F242" s="86" t="str">
        <f t="shared" si="107"/>
        <v>-0.622969207210111-2.00112868341303j</v>
      </c>
      <c r="G242" s="86">
        <f t="shared" si="108"/>
        <v>6.4272231380076859</v>
      </c>
      <c r="H242" s="86">
        <f t="shared" si="109"/>
        <v>-107.29183117920665</v>
      </c>
      <c r="J242" s="86">
        <f t="shared" si="110"/>
        <v>8.3707025411061284</v>
      </c>
      <c r="K242" s="86" t="str">
        <f t="shared" si="111"/>
        <v>1+97.9405264634682j</v>
      </c>
      <c r="L242" s="86">
        <f t="shared" si="112"/>
        <v>-606.8376158265761</v>
      </c>
      <c r="M242" s="86" t="str">
        <f t="shared" si="113"/>
        <v>6.71888377810711j</v>
      </c>
      <c r="N242" s="86" t="str">
        <f t="shared" si="114"/>
        <v>-606.837615826576+6.71888377810711j</v>
      </c>
      <c r="O242" s="86" t="str">
        <f t="shared" si="115"/>
        <v>0.000139054604648306-0.161393410061334j</v>
      </c>
      <c r="P242" s="86" t="str">
        <f t="shared" si="116"/>
        <v>0.00116398473248208-1.35097622771819j</v>
      </c>
      <c r="R242" s="86">
        <f t="shared" si="117"/>
        <v>11.958146487294469</v>
      </c>
      <c r="S242" s="86" t="str">
        <f t="shared" si="118"/>
        <v>1+0.171096502431814j</v>
      </c>
      <c r="T242" s="86" t="str">
        <f t="shared" si="119"/>
        <v>-606.837615826576+6.71888377810711j</v>
      </c>
      <c r="U242" s="86" t="str">
        <f t="shared" si="120"/>
        <v>-0.00164456397995388-0.000300156305292122j</v>
      </c>
      <c r="V242" s="86" t="str">
        <f t="shared" si="121"/>
        <v>-0.0196659369800165-0.00358931306776827j</v>
      </c>
      <c r="X242" s="86" t="str">
        <f t="shared" si="122"/>
        <v>-0.111928287498795+0.0347385205660113j</v>
      </c>
      <c r="Y242" s="86">
        <f t="shared" si="123"/>
        <v>-18.621806213111761</v>
      </c>
      <c r="Z242" s="86">
        <f t="shared" si="124"/>
        <v>-17.242465842705457</v>
      </c>
      <c r="AB242" s="86" t="str">
        <f t="shared" si="125"/>
        <v>-0.00914587582590344-0.00166925235504714j</v>
      </c>
      <c r="AC242" s="86">
        <f t="shared" si="126"/>
        <v>-40.633181615549461</v>
      </c>
      <c r="AD242" s="86">
        <f t="shared" si="127"/>
        <v>10.343445395456058</v>
      </c>
      <c r="AF242" s="86" t="str">
        <f t="shared" si="128"/>
        <v>-0.010356257047219-0.0014745332929672j</v>
      </c>
      <c r="AG242" s="86">
        <f t="shared" si="129"/>
        <v>-39.608782516271447</v>
      </c>
      <c r="AH242" s="86">
        <f t="shared" si="130"/>
        <v>8.103360110892794</v>
      </c>
      <c r="AJ242" s="86" t="str">
        <f t="shared" si="131"/>
        <v>821.943941400703-9253.5680688191j</v>
      </c>
      <c r="AK242" s="86" t="str">
        <f t="shared" si="132"/>
        <v>20000-0.000912514679636338j</v>
      </c>
      <c r="AL242" s="86" t="str">
        <f t="shared" si="146"/>
        <v>10000-9741.09138981891j</v>
      </c>
      <c r="AM242" s="86" t="str">
        <f t="shared" si="147"/>
        <v>641.560889813221-3477.3131527469j</v>
      </c>
      <c r="AN242" s="86" t="str">
        <f t="shared" si="148"/>
        <v>10641.5608898132-3477.3131527469j</v>
      </c>
      <c r="AO242" s="86" t="str">
        <f t="shared" si="149"/>
        <v>7111.8153792269-1462.59706804585j</v>
      </c>
      <c r="AP242" s="86" t="str">
        <f t="shared" si="150"/>
        <v>0.802105960518983+0.356467289719704j</v>
      </c>
      <c r="AQ242" s="86" t="str">
        <f t="shared" si="133"/>
        <v>1+69.80737299218j</v>
      </c>
      <c r="AR242" s="86">
        <f t="shared" si="134"/>
        <v>-1.492506315055342E-6</v>
      </c>
      <c r="AS242" s="86" t="str">
        <f t="shared" si="135"/>
        <v>0.00274454758907523j</v>
      </c>
      <c r="AT242" s="86" t="str">
        <f t="shared" si="136"/>
        <v>-1.49250631505534E-06+0.00274454758907523j</v>
      </c>
      <c r="AU242" s="86" t="str">
        <f t="shared" si="137"/>
        <v>3.81520849657647-0.0567285564273469j</v>
      </c>
      <c r="AW242" s="86" t="str">
        <f t="shared" si="151"/>
        <v>1.46070943674036-1.11252891052143j</v>
      </c>
      <c r="AX242" s="86">
        <f t="shared" si="138"/>
        <v>5.2780933378074533</v>
      </c>
      <c r="AY242" s="86">
        <f t="shared" si="139"/>
        <v>142.70579561599135</v>
      </c>
      <c r="AZ242" s="86" t="str">
        <f t="shared" si="140"/>
        <v>-0.0152165586300986+0.00773675860103821j</v>
      </c>
      <c r="BA242" s="86">
        <f t="shared" si="141"/>
        <v>-35.355088277742013</v>
      </c>
      <c r="BB242" s="86">
        <f t="shared" si="142"/>
        <v>-26.950758988552622</v>
      </c>
      <c r="BD242" s="86" t="str">
        <f t="shared" si="143"/>
        <v>-0.016767943316134+0.00936777067399741j</v>
      </c>
      <c r="BE242" s="86">
        <f t="shared" si="144"/>
        <v>-34.330689178463999</v>
      </c>
      <c r="BF242" s="86">
        <f t="shared" si="145"/>
        <v>-29.190844273115886</v>
      </c>
      <c r="BH242" s="86">
        <f t="shared" si="152"/>
        <v>35.330689178463999</v>
      </c>
      <c r="BI242" s="162">
        <f t="shared" si="153"/>
        <v>29.190844273115886</v>
      </c>
      <c r="BJ242" s="88"/>
      <c r="BK242" s="88"/>
      <c r="BL242" s="88"/>
      <c r="BM242" s="88"/>
      <c r="BN242" s="42"/>
      <c r="BO242" s="42"/>
      <c r="BP242" s="42"/>
    </row>
    <row r="243" spans="1:68" s="86" customFormat="1">
      <c r="A243" s="86">
        <v>179</v>
      </c>
      <c r="B243" s="86">
        <f t="shared" si="103"/>
        <v>380189.3963205617</v>
      </c>
      <c r="C243" s="86" t="str">
        <f t="shared" si="104"/>
        <v>2388800.42890683j</v>
      </c>
      <c r="D243" s="86">
        <f t="shared" si="105"/>
        <v>-0.77955034871767626</v>
      </c>
      <c r="E243" s="86" t="str">
        <f t="shared" si="106"/>
        <v>-2.09543897272529j</v>
      </c>
      <c r="F243" s="86" t="str">
        <f t="shared" si="107"/>
        <v>-0.779550348717676-2.09543897272529j</v>
      </c>
      <c r="G243" s="86">
        <f t="shared" si="108"/>
        <v>6.9884519054550642</v>
      </c>
      <c r="H243" s="86">
        <f t="shared" si="109"/>
        <v>-110.40633115765942</v>
      </c>
      <c r="J243" s="86">
        <f t="shared" si="110"/>
        <v>8.3707025411061284</v>
      </c>
      <c r="K243" s="86" t="str">
        <f t="shared" si="111"/>
        <v>1+102.556321271032j</v>
      </c>
      <c r="L243" s="86">
        <f t="shared" si="112"/>
        <v>-665.48069254949803</v>
      </c>
      <c r="M243" s="86" t="str">
        <f t="shared" si="113"/>
        <v>7.03553501509204j</v>
      </c>
      <c r="N243" s="86" t="str">
        <f t="shared" si="114"/>
        <v>-665.480692549498+7.03553501509204j</v>
      </c>
      <c r="O243" s="86" t="str">
        <f t="shared" si="115"/>
        <v>0.000126566083547844-0.154107297114847j</v>
      </c>
      <c r="P243" s="86" t="str">
        <f t="shared" si="116"/>
        <v>0.00105944703717179-1.28998634356225j</v>
      </c>
      <c r="R243" s="86">
        <f t="shared" si="117"/>
        <v>11.958146487294469</v>
      </c>
      <c r="S243" s="86" t="str">
        <f t="shared" si="118"/>
        <v>1+0.179160032168012j</v>
      </c>
      <c r="T243" s="86" t="str">
        <f t="shared" si="119"/>
        <v>-665.480692549498+7.03553501509204j</v>
      </c>
      <c r="U243" s="86" t="str">
        <f t="shared" si="120"/>
        <v>-0.0014996593684633-0.000285073542011793j</v>
      </c>
      <c r="V243" s="86" t="str">
        <f t="shared" si="121"/>
        <v>-0.0179331464091277-0.00340895117502891j</v>
      </c>
      <c r="X243" s="86" t="str">
        <f t="shared" si="122"/>
        <v>-0.111916331619209+0.0415307838924082j</v>
      </c>
      <c r="Y243" s="86">
        <f t="shared" si="123"/>
        <v>-18.461829628530435</v>
      </c>
      <c r="Z243" s="86">
        <f t="shared" si="124"/>
        <v>-20.359274977179211</v>
      </c>
      <c r="AB243" s="86" t="str">
        <f t="shared" si="125"/>
        <v>-0.00834002114378231-0.00158537293061924j</v>
      </c>
      <c r="AC243" s="86">
        <f t="shared" si="126"/>
        <v>-41.422493345560966</v>
      </c>
      <c r="AD243" s="86">
        <f t="shared" si="127"/>
        <v>10.76306537018985</v>
      </c>
      <c r="AF243" s="86" t="str">
        <f t="shared" si="128"/>
        <v>-0.00945383828362017-0.00134305770770802j</v>
      </c>
      <c r="AG243" s="86">
        <f t="shared" si="129"/>
        <v>-40.401058310890441</v>
      </c>
      <c r="AH243" s="86">
        <f t="shared" si="130"/>
        <v>8.0856078563232074</v>
      </c>
      <c r="AJ243" s="86" t="str">
        <f t="shared" si="131"/>
        <v>750.138466112672-8843.17992712399j</v>
      </c>
      <c r="AK243" s="86" t="str">
        <f t="shared" si="132"/>
        <v>20000-0.00095552017156273j</v>
      </c>
      <c r="AL243" s="86" t="str">
        <f t="shared" si="146"/>
        <v>10000-9302.67005703431j</v>
      </c>
      <c r="AM243" s="86" t="str">
        <f t="shared" si="147"/>
        <v>621.539441699908-3347.81495439813j</v>
      </c>
      <c r="AN243" s="86" t="str">
        <f t="shared" si="148"/>
        <v>10621.5394416999-3347.81495439813j</v>
      </c>
      <c r="AO243" s="86" t="str">
        <f t="shared" si="149"/>
        <v>7091.59075375631-1411.2604941786j</v>
      </c>
      <c r="AP243" s="86" t="str">
        <f t="shared" si="150"/>
        <v>0.81569805747201+0.347629704934573j</v>
      </c>
      <c r="AQ243" s="86" t="str">
        <f t="shared" si="133"/>
        <v>1+73.097293124549j</v>
      </c>
      <c r="AR243" s="86">
        <f t="shared" si="134"/>
        <v>-1.6461484516785106E-6</v>
      </c>
      <c r="AS243" s="86" t="str">
        <f t="shared" si="135"/>
        <v>0.00287389413200494j</v>
      </c>
      <c r="AT243" s="86" t="str">
        <f t="shared" si="136"/>
        <v>-1.64614845167851E-06+0.00287389413200494j</v>
      </c>
      <c r="AU243" s="86" t="str">
        <f t="shared" si="137"/>
        <v>3.8152081978765-0.0543793166656206j</v>
      </c>
      <c r="AW243" s="86" t="str">
        <f t="shared" si="151"/>
        <v>1.38478790663936-1.1420443720226j</v>
      </c>
      <c r="AX243" s="86">
        <f t="shared" si="138"/>
        <v>5.0811244694081719</v>
      </c>
      <c r="AY243" s="86">
        <f t="shared" si="139"/>
        <v>140.48735684313729</v>
      </c>
      <c r="AZ243" s="86" t="str">
        <f t="shared" si="140"/>
        <v>-0.013359726653997+0.00732926894797115j</v>
      </c>
      <c r="BA243" s="86">
        <f t="shared" si="141"/>
        <v>-36.341368876152785</v>
      </c>
      <c r="BB243" s="86">
        <f t="shared" si="142"/>
        <v>-28.749577786672859</v>
      </c>
      <c r="BD243" s="86" t="str">
        <f t="shared" si="143"/>
        <v>-0.014625392422871+0.00893685273426737j</v>
      </c>
      <c r="BE243" s="86">
        <f t="shared" si="144"/>
        <v>-35.319933841482239</v>
      </c>
      <c r="BF243" s="86">
        <f t="shared" si="145"/>
        <v>-31.427035300539416</v>
      </c>
      <c r="BH243" s="86">
        <f t="shared" si="152"/>
        <v>36.319933841482239</v>
      </c>
      <c r="BI243" s="162">
        <f t="shared" si="153"/>
        <v>31.427035300539416</v>
      </c>
      <c r="BJ243" s="88"/>
      <c r="BK243" s="88"/>
      <c r="BL243" s="88"/>
      <c r="BM243" s="88"/>
      <c r="BN243" s="42"/>
      <c r="BO243" s="42"/>
      <c r="BP243" s="42"/>
    </row>
    <row r="244" spans="1:68" s="86" customFormat="1">
      <c r="A244" s="86">
        <v>180</v>
      </c>
      <c r="B244" s="86">
        <f t="shared" si="103"/>
        <v>398107.17055349768</v>
      </c>
      <c r="C244" s="86" t="str">
        <f t="shared" si="104"/>
        <v>2501381.12470457j</v>
      </c>
      <c r="D244" s="86">
        <f t="shared" si="105"/>
        <v>-0.95123815630792419</v>
      </c>
      <c r="E244" s="86" t="str">
        <f t="shared" si="106"/>
        <v>-2.1941939690391j</v>
      </c>
      <c r="F244" s="86" t="str">
        <f t="shared" si="107"/>
        <v>-0.951238156307924-2.1941939690391j</v>
      </c>
      <c r="G244" s="86">
        <f t="shared" si="108"/>
        <v>7.5734600640857463</v>
      </c>
      <c r="H244" s="86">
        <f t="shared" si="109"/>
        <v>-113.43794248466476</v>
      </c>
      <c r="J244" s="86">
        <f t="shared" si="110"/>
        <v>8.3707025411061284</v>
      </c>
      <c r="K244" s="86" t="str">
        <f t="shared" si="111"/>
        <v>1+107.389651785977j</v>
      </c>
      <c r="L244" s="86">
        <f t="shared" si="112"/>
        <v>-729.78154753093077</v>
      </c>
      <c r="M244" s="86" t="str">
        <f t="shared" si="113"/>
        <v>7.36710956511457j</v>
      </c>
      <c r="N244" s="86" t="str">
        <f t="shared" si="114"/>
        <v>-729.781547530931+7.36710956511457j</v>
      </c>
      <c r="O244" s="86" t="str">
        <f t="shared" si="115"/>
        <v>0.000115219126397976-0.147151984477241j</v>
      </c>
      <c r="P244" s="86" t="str">
        <f t="shared" si="116"/>
        <v>0.000964465034123566-1.23176549039245j</v>
      </c>
      <c r="R244" s="86">
        <f t="shared" si="117"/>
        <v>11.958146487294469</v>
      </c>
      <c r="S244" s="86" t="str">
        <f t="shared" si="118"/>
        <v>1+0.187603584352843j</v>
      </c>
      <c r="T244" s="86" t="str">
        <f t="shared" si="119"/>
        <v>-729.781547530931+7.36710956511457j</v>
      </c>
      <c r="U244" s="86" t="str">
        <f t="shared" si="120"/>
        <v>-0.00136753861417976-0.000270873375500977j</v>
      </c>
      <c r="V244" s="86" t="str">
        <f t="shared" si="121"/>
        <v>-0.0163532270753932-0.0032391435037486j</v>
      </c>
      <c r="X244" s="86" t="str">
        <f t="shared" si="122"/>
        <v>-0.111905416751673+0.0484097529604113j</v>
      </c>
      <c r="Y244" s="86">
        <f t="shared" si="123"/>
        <v>-18.277963338680053</v>
      </c>
      <c r="Z244" s="86">
        <f t="shared" si="124"/>
        <v>-23.393080240121094</v>
      </c>
      <c r="AB244" s="86" t="str">
        <f t="shared" si="125"/>
        <v>-0.00760526103263363-0.00150640187130009j</v>
      </c>
      <c r="AC244" s="86">
        <f t="shared" si="126"/>
        <v>-42.210587488122925</v>
      </c>
      <c r="AD244" s="86">
        <f t="shared" si="127"/>
        <v>11.203767037949092</v>
      </c>
      <c r="AF244" s="86" t="str">
        <f t="shared" si="128"/>
        <v>-0.0086303877924292-0.0012257781444115j</v>
      </c>
      <c r="AG244" s="86">
        <f t="shared" si="129"/>
        <v>-41.192656993747285</v>
      </c>
      <c r="AH244" s="86">
        <f t="shared" si="130"/>
        <v>8.0836801387957848</v>
      </c>
      <c r="AJ244" s="86" t="str">
        <f t="shared" si="131"/>
        <v>684.564736377583-8450.4833259024j</v>
      </c>
      <c r="AK244" s="86" t="str">
        <f t="shared" si="132"/>
        <v>20000-0.00100055244988183j</v>
      </c>
      <c r="AL244" s="86" t="str">
        <f t="shared" si="146"/>
        <v>10000-8883.98093467134j</v>
      </c>
      <c r="AM244" s="86" t="str">
        <f t="shared" si="147"/>
        <v>600.975133342112-3223.62893471279j</v>
      </c>
      <c r="AN244" s="86" t="str">
        <f t="shared" si="148"/>
        <v>10600.9751333421-3223.62893471279j</v>
      </c>
      <c r="AO244" s="86" t="str">
        <f t="shared" si="149"/>
        <v>7071.98784319344-1361.88854787601j</v>
      </c>
      <c r="AP244" s="86" t="str">
        <f t="shared" si="150"/>
        <v>0.828605788122921+0.338519050994366j</v>
      </c>
      <c r="AQ244" s="86" t="str">
        <f t="shared" si="133"/>
        <v>1+76.5422624159598j</v>
      </c>
      <c r="AR244" s="86">
        <f t="shared" si="134"/>
        <v>-1.8146137044946597E-6</v>
      </c>
      <c r="AS244" s="86" t="str">
        <f t="shared" si="135"/>
        <v>0.00300933658969833j</v>
      </c>
      <c r="AT244" s="86" t="str">
        <f t="shared" si="136"/>
        <v>-1.81461370449466E-06+0.00300933658969833j</v>
      </c>
      <c r="AU244" s="86" t="str">
        <f t="shared" si="137"/>
        <v>3.81520790259829-0.0521454227096883j</v>
      </c>
      <c r="AW244" s="86" t="str">
        <f t="shared" si="151"/>
        <v>1.30809652374564-1.1654354859206j</v>
      </c>
      <c r="AX244" s="86">
        <f t="shared" si="138"/>
        <v>4.8704731790148639</v>
      </c>
      <c r="AY244" s="86">
        <f t="shared" si="139"/>
        <v>138.30087913313704</v>
      </c>
      <c r="AZ244" s="86" t="str">
        <f t="shared" si="140"/>
        <v>-0.0117040297158365+0.00689292203590881j</v>
      </c>
      <c r="BA244" s="86">
        <f t="shared" si="141"/>
        <v>-37.340114309108081</v>
      </c>
      <c r="BB244" s="86">
        <f t="shared" si="142"/>
        <v>-30.495353828913977</v>
      </c>
      <c r="BD244" s="86" t="str">
        <f t="shared" si="143"/>
        <v>-0.0127179456172165+0.00845472406096488j</v>
      </c>
      <c r="BE244" s="86">
        <f t="shared" si="144"/>
        <v>-36.322183814732426</v>
      </c>
      <c r="BF244" s="86">
        <f t="shared" si="145"/>
        <v>-33.615440728067171</v>
      </c>
      <c r="BH244" s="86">
        <f t="shared" si="152"/>
        <v>37.322183814732426</v>
      </c>
      <c r="BI244" s="162">
        <f t="shared" si="153"/>
        <v>33.615440728067171</v>
      </c>
      <c r="BJ244" s="88"/>
      <c r="BK244" s="88"/>
      <c r="BL244" s="88"/>
      <c r="BM244" s="88"/>
      <c r="BN244" s="42"/>
      <c r="BO244" s="42"/>
      <c r="BP244" s="42"/>
    </row>
    <row r="245" spans="1:68" s="86" customFormat="1">
      <c r="A245" s="86">
        <v>181</v>
      </c>
      <c r="B245" s="86">
        <f t="shared" si="103"/>
        <v>416869.38347033586</v>
      </c>
      <c r="C245" s="86" t="str">
        <f t="shared" si="104"/>
        <v>2619267.58523383j</v>
      </c>
      <c r="D245" s="86">
        <f t="shared" si="105"/>
        <v>-1.1394900938742794</v>
      </c>
      <c r="E245" s="86" t="str">
        <f t="shared" si="106"/>
        <v>-2.29760314494196j</v>
      </c>
      <c r="F245" s="86" t="str">
        <f t="shared" si="107"/>
        <v>-1.13949009387428-2.29760314494196j</v>
      </c>
      <c r="G245" s="86">
        <f t="shared" si="108"/>
        <v>8.1805543493841988</v>
      </c>
      <c r="H245" s="86">
        <f t="shared" si="109"/>
        <v>-116.37898847610251</v>
      </c>
      <c r="J245" s="86">
        <f t="shared" si="110"/>
        <v>8.3707025411061284</v>
      </c>
      <c r="K245" s="86" t="str">
        <f t="shared" si="111"/>
        <v>1+112.450770150342j</v>
      </c>
      <c r="L245" s="86">
        <f t="shared" si="112"/>
        <v>-800.28603301144483</v>
      </c>
      <c r="M245" s="86" t="str">
        <f t="shared" si="113"/>
        <v>7.71431074225034j</v>
      </c>
      <c r="N245" s="86" t="str">
        <f t="shared" si="114"/>
        <v>-800.286033011445+7.71431074225034j</v>
      </c>
      <c r="O245" s="86" t="str">
        <f t="shared" si="115"/>
        <v>0.000104906076510436-0.140512212176344j</v>
      </c>
      <c r="P245" s="86" t="str">
        <f t="shared" si="116"/>
        <v>0.000878137561223381-1.17618593152097j</v>
      </c>
      <c r="R245" s="86">
        <f t="shared" si="117"/>
        <v>11.958146487294469</v>
      </c>
      <c r="S245" s="86" t="str">
        <f t="shared" si="118"/>
        <v>1+0.196445068892537j</v>
      </c>
      <c r="T245" s="86" t="str">
        <f t="shared" si="119"/>
        <v>-800.286033011445+7.71431074225034j</v>
      </c>
      <c r="U245" s="86" t="str">
        <f t="shared" si="120"/>
        <v>-0.00124707117671375-0.000257489641162416j</v>
      </c>
      <c r="V245" s="86" t="str">
        <f t="shared" si="121"/>
        <v>-0.0149126598112257-0.00307909884798106j</v>
      </c>
      <c r="X245" s="86" t="str">
        <f t="shared" si="122"/>
        <v>-0.111895453152922+0.0553901983622446j</v>
      </c>
      <c r="Y245" s="86">
        <f t="shared" si="123"/>
        <v>-18.071910337350936</v>
      </c>
      <c r="Z245" s="86">
        <f t="shared" si="124"/>
        <v>-26.33621159415452</v>
      </c>
      <c r="AB245" s="86" t="str">
        <f t="shared" si="125"/>
        <v>-0.00693530824419922-0.00143197121743718j</v>
      </c>
      <c r="AC245" s="86">
        <f t="shared" si="126"/>
        <v>-42.997373588331328</v>
      </c>
      <c r="AD245" s="86">
        <f t="shared" si="127"/>
        <v>11.666232886013631</v>
      </c>
      <c r="AF245" s="86" t="str">
        <f t="shared" si="128"/>
        <v>-0.00787902703037014-0.00112098327934235j</v>
      </c>
      <c r="AG245" s="86">
        <f t="shared" si="129"/>
        <v>-41.983516277421728</v>
      </c>
      <c r="AH245" s="86">
        <f t="shared" si="130"/>
        <v>8.0973747359523145</v>
      </c>
      <c r="AJ245" s="86" t="str">
        <f t="shared" si="131"/>
        <v>624.688818665437-8074.78110165875j</v>
      </c>
      <c r="AK245" s="86" t="str">
        <f t="shared" si="132"/>
        <v>19999.9999999999-0.00104770703409353j</v>
      </c>
      <c r="AL245" s="86" t="str">
        <f t="shared" si="146"/>
        <v>10000-8484.13592696694j</v>
      </c>
      <c r="AM245" s="86" t="str">
        <f t="shared" si="147"/>
        <v>579.936110479223-3104.42393254709j</v>
      </c>
      <c r="AN245" s="86" t="str">
        <f t="shared" si="148"/>
        <v>10579.9361104792-3104.42393254709j</v>
      </c>
      <c r="AO245" s="86" t="str">
        <f t="shared" si="149"/>
        <v>7052.95970367645-1314.36198236604j</v>
      </c>
      <c r="AP245" s="86" t="str">
        <f t="shared" si="150"/>
        <v>0.840828962847195+0.329193313501862j</v>
      </c>
      <c r="AQ245" s="86" t="str">
        <f t="shared" si="133"/>
        <v>1+80.1495881081552j</v>
      </c>
      <c r="AR245" s="86">
        <f t="shared" si="134"/>
        <v>-1.9993321810153383E-6</v>
      </c>
      <c r="AS245" s="86" t="str">
        <f t="shared" si="135"/>
        <v>0.00315116225376726j</v>
      </c>
      <c r="AT245" s="86" t="str">
        <f t="shared" si="136"/>
        <v>-1.99933218101534E-06+0.00315116225376726j</v>
      </c>
      <c r="AU245" s="86" t="str">
        <f t="shared" si="137"/>
        <v>3.81520760823528-0.0500221361689494j</v>
      </c>
      <c r="AW245" s="86" t="str">
        <f t="shared" si="151"/>
        <v>1.23127909899723-1.18287093034455j</v>
      </c>
      <c r="AX245" s="86">
        <f t="shared" si="138"/>
        <v>4.6467310126329178</v>
      </c>
      <c r="AY245" s="86">
        <f t="shared" si="139"/>
        <v>136.14873230025688</v>
      </c>
      <c r="AZ245" s="86" t="str">
        <f t="shared" si="140"/>
        <v>-0.0102331372123822+0.00644041828464614j</v>
      </c>
      <c r="BA245" s="86">
        <f t="shared" si="141"/>
        <v>-38.350642575698409</v>
      </c>
      <c r="BB245" s="86">
        <f t="shared" si="142"/>
        <v>-32.185034813729516</v>
      </c>
      <c r="BD245" s="86" t="str">
        <f t="shared" si="143"/>
        <v>-0.0110272598374653+0.00793962875144417j</v>
      </c>
      <c r="BE245" s="86">
        <f t="shared" si="144"/>
        <v>-37.336785264788837</v>
      </c>
      <c r="BF245" s="86">
        <f t="shared" si="145"/>
        <v>-35.753892963790861</v>
      </c>
      <c r="BH245" s="86">
        <f t="shared" si="152"/>
        <v>38.336785264788837</v>
      </c>
      <c r="BI245" s="162">
        <f t="shared" si="153"/>
        <v>35.753892963790861</v>
      </c>
      <c r="BJ245" s="88"/>
      <c r="BK245" s="88"/>
      <c r="BL245" s="88"/>
      <c r="BM245" s="88"/>
      <c r="BN245" s="42"/>
      <c r="BO245" s="42"/>
      <c r="BP245" s="42"/>
    </row>
    <row r="246" spans="1:68" s="86" customFormat="1">
      <c r="A246" s="86">
        <v>182</v>
      </c>
      <c r="B246" s="86">
        <f t="shared" si="103"/>
        <v>436515.83224016632</v>
      </c>
      <c r="C246" s="86" t="str">
        <f t="shared" si="104"/>
        <v>2742709.86348268j</v>
      </c>
      <c r="D246" s="86">
        <f t="shared" si="105"/>
        <v>-1.345904238797472</v>
      </c>
      <c r="E246" s="86" t="str">
        <f t="shared" si="106"/>
        <v>-2.40588584516025j</v>
      </c>
      <c r="F246" s="86" t="str">
        <f t="shared" si="107"/>
        <v>-1.34590423879747-2.40588584516025j</v>
      </c>
      <c r="G246" s="86">
        <f t="shared" si="108"/>
        <v>8.8079901573935757</v>
      </c>
      <c r="H246" s="86">
        <f t="shared" si="109"/>
        <v>-119.22358692857755</v>
      </c>
      <c r="J246" s="86">
        <f t="shared" si="110"/>
        <v>8.3707025411061284</v>
      </c>
      <c r="K246" s="86" t="str">
        <f t="shared" si="111"/>
        <v>1+117.750411674733j</v>
      </c>
      <c r="L246" s="86">
        <f t="shared" si="112"/>
        <v>-877.5926640711134</v>
      </c>
      <c r="M246" s="86" t="str">
        <f t="shared" si="113"/>
        <v>8.07787500674604j</v>
      </c>
      <c r="N246" s="86" t="str">
        <f t="shared" si="114"/>
        <v>-877.592664071113+8.07787500674604j</v>
      </c>
      <c r="O246" s="86" t="str">
        <f t="shared" si="115"/>
        <v>0.0000955299693716687-0.134173455198846j</v>
      </c>
      <c r="P246" s="86" t="str">
        <f t="shared" si="116"/>
        <v>0.000799652957371218-1.12312608238197j</v>
      </c>
      <c r="R246" s="86">
        <f t="shared" si="117"/>
        <v>11.958146487294469</v>
      </c>
      <c r="S246" s="86" t="str">
        <f t="shared" si="118"/>
        <v>1+0.205703239761201j</v>
      </c>
      <c r="T246" s="86" t="str">
        <f t="shared" si="119"/>
        <v>-877.592664071113+8.07787500674604j</v>
      </c>
      <c r="U246" s="86" t="str">
        <f t="shared" si="120"/>
        <v>-0.0011372269521207-0.000244862594837418j</v>
      </c>
      <c r="V246" s="86" t="str">
        <f t="shared" si="121"/>
        <v>-0.0135991264827587-0.00292810277832488j</v>
      </c>
      <c r="X246" s="86" t="str">
        <f t="shared" si="122"/>
        <v>-0.111886358662195+0.0624870826957704j</v>
      </c>
      <c r="Y246" s="86">
        <f t="shared" si="123"/>
        <v>-17.84542409785724</v>
      </c>
      <c r="Z246" s="86">
        <f t="shared" si="124"/>
        <v>-29.182792994121513</v>
      </c>
      <c r="AB246" s="86" t="str">
        <f t="shared" si="125"/>
        <v>-0.00632443408511124-0.00136174871521528j</v>
      </c>
      <c r="AC246" s="86">
        <f t="shared" si="126"/>
        <v>-43.782752114829378</v>
      </c>
      <c r="AD246" s="86">
        <f t="shared" si="127"/>
        <v>12.151157428619825</v>
      </c>
      <c r="AF246" s="86" t="str">
        <f t="shared" si="128"/>
        <v>-0.00719347059772434-0.00102717679432502j</v>
      </c>
      <c r="AG246" s="86">
        <f t="shared" si="129"/>
        <v>-42.77356935933966</v>
      </c>
      <c r="AH246" s="86">
        <f t="shared" si="130"/>
        <v>8.1264971751473638</v>
      </c>
      <c r="AJ246" s="86" t="str">
        <f t="shared" si="131"/>
        <v>570.02137104946-7715.3949734761j</v>
      </c>
      <c r="AK246" s="86" t="str">
        <f t="shared" si="132"/>
        <v>19999.9999999999-0.00109708394539307j</v>
      </c>
      <c r="AL246" s="86" t="str">
        <f t="shared" si="146"/>
        <v>10000-8102.2869090515j</v>
      </c>
      <c r="AM246" s="86" t="str">
        <f t="shared" si="147"/>
        <v>558.497801259798-2989.8882426104j</v>
      </c>
      <c r="AN246" s="86" t="str">
        <f t="shared" si="148"/>
        <v>10558.4978012598-2989.8882426104j</v>
      </c>
      <c r="AO246" s="86" t="str">
        <f t="shared" si="149"/>
        <v>7034.46969086208-1268.56662748182j</v>
      </c>
      <c r="AP246" s="86" t="str">
        <f t="shared" si="150"/>
        <v>0.852372899866817+0.319707661288874j</v>
      </c>
      <c r="AQ246" s="86" t="str">
        <f t="shared" si="133"/>
        <v>1+83.92692182257j</v>
      </c>
      <c r="AR246" s="86">
        <f t="shared" si="134"/>
        <v>-2.2018719629450255E-6</v>
      </c>
      <c r="AS246" s="86" t="str">
        <f t="shared" si="135"/>
        <v>0.00329967195546011j</v>
      </c>
      <c r="AT246" s="86" t="str">
        <f t="shared" si="136"/>
        <v>-2.20187196294503E-06+0.00329967195546011j</v>
      </c>
      <c r="AU246" s="86" t="str">
        <f t="shared" si="137"/>
        <v>3.81520731228853-0.0480049532656234j</v>
      </c>
      <c r="AW246" s="86" t="str">
        <f t="shared" si="151"/>
        <v>1.1549258944909-1.19458829508167j</v>
      </c>
      <c r="AX246" s="86">
        <f t="shared" si="138"/>
        <v>4.4104989283394342</v>
      </c>
      <c r="AY246" s="86">
        <f t="shared" si="139"/>
        <v>134.0328756722563</v>
      </c>
      <c r="AZ246" s="86" t="str">
        <f t="shared" si="140"/>
        <v>-0.00893098176893452+0.0059823760780976j</v>
      </c>
      <c r="BA246" s="86">
        <f t="shared" si="141"/>
        <v>-39.372253186489942</v>
      </c>
      <c r="BB246" s="86">
        <f t="shared" si="142"/>
        <v>-33.81596689912385</v>
      </c>
      <c r="BD246" s="86" t="str">
        <f t="shared" si="143"/>
        <v>-0.00953497884005096+0.00740692269906953j</v>
      </c>
      <c r="BE246" s="86">
        <f t="shared" si="144"/>
        <v>-38.363070431000217</v>
      </c>
      <c r="BF246" s="86">
        <f t="shared" si="145"/>
        <v>-37.840627152596312</v>
      </c>
      <c r="BH246" s="86">
        <f t="shared" si="152"/>
        <v>39.363070431000217</v>
      </c>
      <c r="BI246" s="162">
        <f t="shared" si="153"/>
        <v>37.840627152596312</v>
      </c>
      <c r="BJ246" s="88"/>
      <c r="BK246" s="88"/>
      <c r="BL246" s="88"/>
      <c r="BM246" s="88"/>
      <c r="BN246" s="42"/>
      <c r="BO246" s="42"/>
      <c r="BP246" s="42"/>
    </row>
    <row r="247" spans="1:68" s="86" customFormat="1">
      <c r="A247" s="86">
        <v>183</v>
      </c>
      <c r="B247" s="86">
        <f t="shared" si="103"/>
        <v>457088.1896148753</v>
      </c>
      <c r="C247" s="86" t="str">
        <f t="shared" si="104"/>
        <v>2871969.7970735j</v>
      </c>
      <c r="D247" s="86">
        <f t="shared" si="105"/>
        <v>-1.5722328480813048</v>
      </c>
      <c r="E247" s="86" t="str">
        <f t="shared" si="106"/>
        <v>-2.51927175181886j</v>
      </c>
      <c r="F247" s="86" t="str">
        <f t="shared" si="107"/>
        <v>-1.5722328480813-2.51927175181886j</v>
      </c>
      <c r="G247" s="86">
        <f t="shared" si="108"/>
        <v>9.4540192359776025</v>
      </c>
      <c r="H247" s="86">
        <f t="shared" si="109"/>
        <v>-121.96755603248415</v>
      </c>
      <c r="J247" s="86">
        <f t="shared" si="110"/>
        <v>8.3707025411061284</v>
      </c>
      <c r="K247" s="86" t="str">
        <f t="shared" si="111"/>
        <v>1+123.299817609359j</v>
      </c>
      <c r="L247" s="86">
        <f t="shared" si="112"/>
        <v>-962.35769944533013</v>
      </c>
      <c r="M247" s="86" t="str">
        <f t="shared" si="113"/>
        <v>8.45857352715063j</v>
      </c>
      <c r="N247" s="86" t="str">
        <f t="shared" si="114"/>
        <v>-962.35769944533+8.45857352715063j</v>
      </c>
      <c r="O247" s="86" t="str">
        <f t="shared" si="115"/>
        <v>0.0000870033851421608-0.128121884155854j</v>
      </c>
      <c r="P247" s="86" t="str">
        <f t="shared" si="116"/>
        <v>0.000728279457094321-1.07247018127471j</v>
      </c>
      <c r="R247" s="86">
        <f t="shared" si="117"/>
        <v>11.958146487294469</v>
      </c>
      <c r="S247" s="86" t="str">
        <f t="shared" si="118"/>
        <v>1+0.215397734780512j</v>
      </c>
      <c r="T247" s="86" t="str">
        <f t="shared" si="119"/>
        <v>-962.35769944533+8.45857352715063j</v>
      </c>
      <c r="U247" s="86" t="str">
        <f t="shared" si="120"/>
        <v>-0.00103706727333209-0.000232938173294397j</v>
      </c>
      <c r="V247" s="86" t="str">
        <f t="shared" si="121"/>
        <v>-0.0124014023716842-0.00278550879873718j</v>
      </c>
      <c r="X247" s="86" t="str">
        <f t="shared" si="122"/>
        <v>-0.111878058087338+0.0697155953200883j</v>
      </c>
      <c r="Y247" s="86">
        <f t="shared" si="123"/>
        <v>-17.60026095808734</v>
      </c>
      <c r="Z247" s="86">
        <f t="shared" si="124"/>
        <v>-31.928648346739379</v>
      </c>
      <c r="AB247" s="86" t="str">
        <f t="shared" si="125"/>
        <v>-0.00576741836779713-0.00129543370402839j</v>
      </c>
      <c r="AC247" s="86">
        <f t="shared" si="126"/>
        <v>-44.56661399521731</v>
      </c>
      <c r="AD247" s="86">
        <f t="shared" si="127"/>
        <v>12.659244206326832</v>
      </c>
      <c r="AF247" s="86" t="str">
        <f t="shared" si="128"/>
        <v>-0.00656797606319302-0.00094304993853779j</v>
      </c>
      <c r="AG247" s="86">
        <f t="shared" si="129"/>
        <v>-43.562744674699118</v>
      </c>
      <c r="AH247" s="86">
        <f t="shared" si="130"/>
        <v>8.1708569641249653</v>
      </c>
      <c r="AJ247" s="86" t="str">
        <f t="shared" si="131"/>
        <v>520.114113713882-7371.66624642443j</v>
      </c>
      <c r="AK247" s="86" t="str">
        <f t="shared" si="132"/>
        <v>19999.9999999999-0.0011487879188294j</v>
      </c>
      <c r="AL247" s="86" t="str">
        <f t="shared" si="146"/>
        <v>9999.99999999992-7737.62392796272j</v>
      </c>
      <c r="AM247" s="86" t="str">
        <f t="shared" si="147"/>
        <v>536.741957802302-2879.73019228749j</v>
      </c>
      <c r="AN247" s="86" t="str">
        <f t="shared" si="148"/>
        <v>10536.7419578023-2879.73019228749j</v>
      </c>
      <c r="AO247" s="86" t="str">
        <f t="shared" si="149"/>
        <v>7016.49057208271-1224.39414778143j</v>
      </c>
      <c r="AP247" s="86" t="str">
        <f t="shared" si="150"/>
        <v>0.863247775352471+0.310113983553076j</v>
      </c>
      <c r="AQ247" s="86" t="str">
        <f t="shared" si="133"/>
        <v>1+87.8822757904491j</v>
      </c>
      <c r="AR247" s="86">
        <f t="shared" si="134"/>
        <v>-2.4239524176825346E-6</v>
      </c>
      <c r="AS247" s="86" t="str">
        <f t="shared" si="135"/>
        <v>0.00345518070376522j</v>
      </c>
      <c r="AT247" s="86" t="str">
        <f t="shared" si="136"/>
        <v>-2.42395241768253E-06+0.00345518070376522j</v>
      </c>
      <c r="AU247" s="86" t="str">
        <f t="shared" si="137"/>
        <v>3.8152070122458-0.0460895952815883j</v>
      </c>
      <c r="AW247" s="86" t="str">
        <f t="shared" si="151"/>
        <v>1.07956731161621-1.20088185530463j</v>
      </c>
      <c r="AX247" s="86">
        <f t="shared" si="138"/>
        <v>4.1623810949104429</v>
      </c>
      <c r="AY247" s="86">
        <f t="shared" si="139"/>
        <v>131.95486939624936</v>
      </c>
      <c r="AZ247" s="86" t="str">
        <f t="shared" si="140"/>
        <v>-0.00778197917220646+0.00552748018860326j</v>
      </c>
      <c r="BA247" s="86">
        <f t="shared" si="141"/>
        <v>-40.404232900306866</v>
      </c>
      <c r="BB247" s="86">
        <f t="shared" si="142"/>
        <v>-35.385886397423832</v>
      </c>
      <c r="BD247" s="86" t="str">
        <f t="shared" si="143"/>
        <v>-0.00822306382113708+0.00686927739349656j</v>
      </c>
      <c r="BE247" s="86">
        <f t="shared" si="144"/>
        <v>-39.400363579788674</v>
      </c>
      <c r="BF247" s="86">
        <f t="shared" si="145"/>
        <v>-39.874273639625727</v>
      </c>
      <c r="BH247" s="86">
        <f t="shared" si="152"/>
        <v>40.400363579788674</v>
      </c>
      <c r="BI247" s="162">
        <f t="shared" si="153"/>
        <v>39.874273639625727</v>
      </c>
      <c r="BJ247" s="88"/>
      <c r="BK247" s="88"/>
      <c r="BL247" s="88"/>
      <c r="BM247" s="88"/>
      <c r="BN247" s="42"/>
      <c r="BO247" s="42"/>
      <c r="BP247" s="42"/>
    </row>
    <row r="248" spans="1:68" s="86" customFormat="1">
      <c r="A248" s="86">
        <v>184</v>
      </c>
      <c r="B248" s="86">
        <f t="shared" si="103"/>
        <v>478630.09232263849</v>
      </c>
      <c r="C248" s="86" t="str">
        <f t="shared" si="104"/>
        <v>3007321.56365561j</v>
      </c>
      <c r="D248" s="86">
        <f t="shared" si="105"/>
        <v>-1.8203972333244343</v>
      </c>
      <c r="E248" s="86" t="str">
        <f t="shared" si="106"/>
        <v>-2.63800137162773j</v>
      </c>
      <c r="F248" s="86" t="str">
        <f t="shared" si="107"/>
        <v>-1.82039723332443-2.63800137162773j</v>
      </c>
      <c r="G248" s="86">
        <f t="shared" si="108"/>
        <v>10.116929474222564</v>
      </c>
      <c r="H248" s="86">
        <f t="shared" si="109"/>
        <v>-124.60826936254894</v>
      </c>
      <c r="J248" s="86">
        <f t="shared" si="110"/>
        <v>8.3707025411061284</v>
      </c>
      <c r="K248" s="86" t="str">
        <f t="shared" si="111"/>
        <v>1+129.110758988229j</v>
      </c>
      <c r="L248" s="86">
        <f t="shared" si="112"/>
        <v>-1055.3007125284635</v>
      </c>
      <c r="M248" s="86" t="str">
        <f t="shared" si="113"/>
        <v>8.85721381606701j</v>
      </c>
      <c r="N248" s="86" t="str">
        <f t="shared" si="114"/>
        <v>-1055.30071252846+8.85721381606701j</v>
      </c>
      <c r="O248" s="86" t="str">
        <f t="shared" si="115"/>
        <v>0.0000792474372699814-0.122344328534935j</v>
      </c>
      <c r="P248" s="86" t="str">
        <f t="shared" si="116"/>
        <v>0.000663356724531982-1.0241079817573j</v>
      </c>
      <c r="R248" s="86">
        <f t="shared" si="117"/>
        <v>11.958146487294469</v>
      </c>
      <c r="S248" s="86" t="str">
        <f t="shared" si="118"/>
        <v>1+0.225549117274171j</v>
      </c>
      <c r="T248" s="86" t="str">
        <f t="shared" si="119"/>
        <v>-1055.30071252846+8.85721381606701j</v>
      </c>
      <c r="U248" s="86" t="str">
        <f t="shared" si="120"/>
        <v>-0.000945736729880879-0.000221667347446357j</v>
      </c>
      <c r="V248" s="86" t="str">
        <f t="shared" si="121"/>
        <v>-0.0113092583543304-0.00265073061221354j</v>
      </c>
      <c r="X248" s="86" t="str">
        <f t="shared" si="122"/>
        <v>-0.111870482635855+0.077091187198733j</v>
      </c>
      <c r="Y248" s="86">
        <f t="shared" si="123"/>
        <v>-17.338140400588948</v>
      </c>
      <c r="Z248" s="86">
        <f t="shared" si="124"/>
        <v>-34.571156542427588</v>
      </c>
      <c r="AB248" s="86" t="str">
        <f t="shared" si="125"/>
        <v>-0.00525950391770655-0.00123275351954299j</v>
      </c>
      <c r="AC248" s="86">
        <f t="shared" si="126"/>
        <v>-45.34884013754958</v>
      </c>
      <c r="AD248" s="86">
        <f t="shared" si="127"/>
        <v>13.191202304403561</v>
      </c>
      <c r="AF248" s="86" t="str">
        <f t="shared" si="128"/>
        <v>-0.00599729786081674-0.000867457608834687j</v>
      </c>
      <c r="AG248" s="86">
        <f t="shared" si="129"/>
        <v>-44.350965665752028</v>
      </c>
      <c r="AH248" s="86">
        <f t="shared" si="130"/>
        <v>8.2302634963039623</v>
      </c>
      <c r="AJ248" s="86" t="str">
        <f t="shared" si="131"/>
        <v>474.556545576837-7042.95629481101j</v>
      </c>
      <c r="AK248" s="86" t="str">
        <f t="shared" si="132"/>
        <v>19999.9999999999-0.00120292862546224j</v>
      </c>
      <c r="AL248" s="86" t="str">
        <f t="shared" si="146"/>
        <v>10000-7389.37348462651j</v>
      </c>
      <c r="AM248" s="86" t="str">
        <f t="shared" si="147"/>
        <v>514.755490943386-2773.67858458469j</v>
      </c>
      <c r="AN248" s="86" t="str">
        <f t="shared" si="148"/>
        <v>10514.7554909434-2773.67858458469j</v>
      </c>
      <c r="AO248" s="86" t="str">
        <f t="shared" si="149"/>
        <v>6999.00356057998-1181.74270287639j</v>
      </c>
      <c r="AP248" s="86" t="str">
        <f t="shared" si="150"/>
        <v>0.873467959161212+0.300460549433009j</v>
      </c>
      <c r="AQ248" s="86" t="str">
        <f t="shared" si="133"/>
        <v>1+92.0240398478617j</v>
      </c>
      <c r="AR248" s="86">
        <f t="shared" si="134"/>
        <v>-2.6674587940917744E-6</v>
      </c>
      <c r="AS248" s="86" t="str">
        <f t="shared" si="135"/>
        <v>0.00361801835358715j</v>
      </c>
      <c r="AT248" s="86" t="str">
        <f t="shared" si="136"/>
        <v>-2.66745879409177E-06+0.00361801835358715j</v>
      </c>
      <c r="AU248" s="86" t="str">
        <f t="shared" si="137"/>
        <v>3.81520670556001-0.0442719994825935j</v>
      </c>
      <c r="AW248" s="86" t="str">
        <f t="shared" si="151"/>
        <v>1.00567007469527-1.20209030364502j</v>
      </c>
      <c r="AX248" s="86">
        <f t="shared" si="138"/>
        <v>3.9029792133527801</v>
      </c>
      <c r="AY248" s="86">
        <f t="shared" si="139"/>
        <v>129.91588972944169</v>
      </c>
      <c r="AZ248" s="86" t="str">
        <f t="shared" si="140"/>
        <v>-0.00677120675040691+0.00508265533737838j</v>
      </c>
      <c r="BA248" s="86">
        <f t="shared" si="141"/>
        <v>-41.445860924196808</v>
      </c>
      <c r="BB248" s="86">
        <f t="shared" si="142"/>
        <v>-36.892907966154752</v>
      </c>
      <c r="BD248" s="86" t="str">
        <f t="shared" si="143"/>
        <v>-0.00707406536806062+0.00633691744828706j</v>
      </c>
      <c r="BE248" s="86">
        <f t="shared" si="144"/>
        <v>-40.447986452399249</v>
      </c>
      <c r="BF248" s="86">
        <f t="shared" si="145"/>
        <v>-41.853846774254379</v>
      </c>
      <c r="BH248" s="86">
        <f t="shared" si="152"/>
        <v>41.447986452399249</v>
      </c>
      <c r="BI248" s="162">
        <f t="shared" si="153"/>
        <v>41.853846774254379</v>
      </c>
      <c r="BJ248" s="88"/>
      <c r="BK248" s="88"/>
      <c r="BL248" s="88"/>
      <c r="BM248" s="88"/>
      <c r="BN248" s="42"/>
      <c r="BO248" s="42"/>
      <c r="BP248" s="42"/>
    </row>
    <row r="249" spans="1:68" s="86" customFormat="1">
      <c r="A249" s="86">
        <v>185</v>
      </c>
      <c r="B249" s="86">
        <f t="shared" si="103"/>
        <v>501187.23362727324</v>
      </c>
      <c r="C249" s="86" t="str">
        <f t="shared" si="104"/>
        <v>3149052.26247287j</v>
      </c>
      <c r="D249" s="86">
        <f t="shared" si="105"/>
        <v>-2.0925040708028262</v>
      </c>
      <c r="E249" s="86" t="str">
        <f t="shared" si="106"/>
        <v>-2.76232654602883j</v>
      </c>
      <c r="F249" s="86" t="str">
        <f t="shared" si="107"/>
        <v>-2.09250407080283-2.76232654602883j</v>
      </c>
      <c r="G249" s="86">
        <f t="shared" si="108"/>
        <v>10.795076127041067</v>
      </c>
      <c r="H249" s="86">
        <f t="shared" si="109"/>
        <v>-127.14447851692032</v>
      </c>
      <c r="J249" s="86">
        <f t="shared" si="110"/>
        <v>8.3707025411061284</v>
      </c>
      <c r="K249" s="86" t="str">
        <f t="shared" si="111"/>
        <v>1+135.195561597094j</v>
      </c>
      <c r="L249" s="86">
        <f t="shared" si="112"/>
        <v>-1157.2106998579784</v>
      </c>
      <c r="M249" s="86" t="str">
        <f t="shared" si="113"/>
        <v>9.27464144299465j</v>
      </c>
      <c r="N249" s="86" t="str">
        <f t="shared" si="114"/>
        <v>-1157.21069985798+9.27464144299465j</v>
      </c>
      <c r="O249" s="86" t="str">
        <f t="shared" si="115"/>
        <v>0.0000721908792388559-0.116828242315047j</v>
      </c>
      <c r="P249" s="86" t="str">
        <f t="shared" si="116"/>
        <v>0.000604288376289377-0.977934464819527j</v>
      </c>
      <c r="R249" s="86">
        <f t="shared" si="117"/>
        <v>11.958146487294469</v>
      </c>
      <c r="S249" s="86" t="str">
        <f t="shared" si="118"/>
        <v>1+0.236178919685465j</v>
      </c>
      <c r="T249" s="86" t="str">
        <f t="shared" si="119"/>
        <v>-1157.21069985798+9.27464144299465j</v>
      </c>
      <c r="U249" s="86" t="str">
        <f t="shared" si="120"/>
        <v>-0.000862455730185019-0.00021100555618208j</v>
      </c>
      <c r="V249" s="86" t="str">
        <f t="shared" si="121"/>
        <v>-0.010313371960359-0.00252323535045836j</v>
      </c>
      <c r="X249" s="86" t="str">
        <f t="shared" si="122"/>
        <v>-0.111863569388477+0.0846296059559655j</v>
      </c>
      <c r="Y249" s="86">
        <f t="shared" si="123"/>
        <v>-17.060713891249129</v>
      </c>
      <c r="Z249" s="86">
        <f t="shared" si="124"/>
        <v>-37.109074131034617</v>
      </c>
      <c r="AB249" s="86" t="str">
        <f t="shared" si="125"/>
        <v>-0.00479635521011003-0.00117346034507646j</v>
      </c>
      <c r="AC249" s="86">
        <f t="shared" si="126"/>
        <v>-46.129300944778116</v>
      </c>
      <c r="AD249" s="86">
        <f t="shared" si="127"/>
        <v>13.747742341774796</v>
      </c>
      <c r="AF249" s="86" t="str">
        <f t="shared" si="128"/>
        <v>-0.00547664495869719-0.000799397497715911j</v>
      </c>
      <c r="AG249" s="86">
        <f t="shared" si="129"/>
        <v>-45.138150574247284</v>
      </c>
      <c r="AH249" s="86">
        <f t="shared" si="130"/>
        <v>8.304521600084712</v>
      </c>
      <c r="AJ249" s="86" t="str">
        <f t="shared" si="131"/>
        <v>432.972895772891-6728.64685710876j</v>
      </c>
      <c r="AK249" s="86" t="str">
        <f t="shared" si="132"/>
        <v>19999.9999999999-0.00125962090498914j</v>
      </c>
      <c r="AL249" s="86" t="str">
        <f t="shared" si="146"/>
        <v>10000-7056.79689316166j</v>
      </c>
      <c r="AM249" s="86" t="str">
        <f t="shared" si="147"/>
        <v>492.629130209991-2671.48296316846j</v>
      </c>
      <c r="AN249" s="86" t="str">
        <f t="shared" si="148"/>
        <v>10492.62913021-2671.48296316846j</v>
      </c>
      <c r="AO249" s="86" t="str">
        <f t="shared" si="149"/>
        <v>6981.99728253593-1140.51749187465j</v>
      </c>
      <c r="AP249" s="86" t="str">
        <f t="shared" si="150"/>
        <v>0.88305135627532+0.290791781306862j</v>
      </c>
      <c r="AQ249" s="86" t="str">
        <f t="shared" si="133"/>
        <v>1+96.3609992316698j</v>
      </c>
      <c r="AR249" s="86">
        <f t="shared" si="134"/>
        <v>-2.934458226446363E-6</v>
      </c>
      <c r="AS249" s="86" t="str">
        <f t="shared" si="135"/>
        <v>0.00378853030541324j</v>
      </c>
      <c r="AT249" s="86" t="str">
        <f t="shared" si="136"/>
        <v>-2.93445822644636E-06+0.00378853030541324j</v>
      </c>
      <c r="AU249" s="86" t="str">
        <f t="shared" si="137"/>
        <v>3.81520638962767-0.0425483105005942j</v>
      </c>
      <c r="AW249" s="86" t="str">
        <f t="shared" si="151"/>
        <v>0.933635679960579-1.19858489764114j</v>
      </c>
      <c r="AX249" s="86">
        <f t="shared" si="138"/>
        <v>3.6328874072896777</v>
      </c>
      <c r="AY249" s="86">
        <f t="shared" si="139"/>
        <v>127.91674756286324</v>
      </c>
      <c r="AZ249" s="86" t="str">
        <f t="shared" si="140"/>
        <v>-0.00588454020551295+0.00465325447137805j</v>
      </c>
      <c r="BA249" s="86">
        <f t="shared" si="141"/>
        <v>-42.496413537488429</v>
      </c>
      <c r="BB249" s="86">
        <f t="shared" si="142"/>
        <v>-38.335510095362025</v>
      </c>
      <c r="BD249" s="86" t="str">
        <f t="shared" si="143"/>
        <v>-0.00607133690789033+0.00581787791089816j</v>
      </c>
      <c r="BE249" s="86">
        <f t="shared" si="144"/>
        <v>-41.505263166957604</v>
      </c>
      <c r="BF249" s="86">
        <f t="shared" si="145"/>
        <v>-43.77873083705208</v>
      </c>
      <c r="BH249" s="86">
        <f t="shared" si="152"/>
        <v>42.505263166957604</v>
      </c>
      <c r="BI249" s="162">
        <f t="shared" si="153"/>
        <v>43.77873083705208</v>
      </c>
      <c r="BJ249" s="88"/>
      <c r="BK249" s="88"/>
      <c r="BL249" s="88"/>
      <c r="BM249" s="88"/>
      <c r="BN249" s="42"/>
      <c r="BO249" s="42"/>
      <c r="BP249" s="42"/>
    </row>
    <row r="250" spans="1:68" s="86" customFormat="1">
      <c r="A250" s="86">
        <v>186</v>
      </c>
      <c r="B250" s="86">
        <f t="shared" si="103"/>
        <v>524807.46024977358</v>
      </c>
      <c r="C250" s="86" t="str">
        <f t="shared" si="104"/>
        <v>3297462.52333961j</v>
      </c>
      <c r="D250" s="86">
        <f t="shared" si="105"/>
        <v>-2.3908632851193174</v>
      </c>
      <c r="E250" s="86" t="str">
        <f t="shared" si="106"/>
        <v>-2.89251098538562j</v>
      </c>
      <c r="F250" s="86" t="str">
        <f t="shared" si="107"/>
        <v>-2.39086328511932-2.89251098538562j</v>
      </c>
      <c r="G250" s="86">
        <f t="shared" si="108"/>
        <v>11.486904625157106</v>
      </c>
      <c r="H250" s="86">
        <f t="shared" si="109"/>
        <v>-129.57612004209687</v>
      </c>
      <c r="J250" s="86">
        <f t="shared" si="110"/>
        <v>8.3707025411061284</v>
      </c>
      <c r="K250" s="86" t="str">
        <f t="shared" si="111"/>
        <v>1+141.567132118091j</v>
      </c>
      <c r="L250" s="86">
        <f t="shared" si="112"/>
        <v>-1268.9527789340038</v>
      </c>
      <c r="M250" s="86" t="str">
        <f t="shared" si="113"/>
        <v>9.71174182789567j</v>
      </c>
      <c r="N250" s="86" t="str">
        <f t="shared" si="114"/>
        <v>-1268.952778934+9.71174182789567j</v>
      </c>
      <c r="O250" s="86" t="str">
        <f t="shared" si="115"/>
        <v>0.0000657693140852382-0.11156167174512j</v>
      </c>
      <c r="P250" s="86" t="str">
        <f t="shared" si="116"/>
        <v>0.000550535364540111-0.933849569166924j</v>
      </c>
      <c r="R250" s="86">
        <f t="shared" si="117"/>
        <v>11.958146487294469</v>
      </c>
      <c r="S250" s="86" t="str">
        <f t="shared" si="118"/>
        <v>1+0.247309689250471j</v>
      </c>
      <c r="T250" s="86" t="str">
        <f t="shared" si="119"/>
        <v>-1268.952778934+9.71174182789567j</v>
      </c>
      <c r="U250" s="86" t="str">
        <f t="shared" si="120"/>
        <v>-0.000786513737194935-0.000200912210322258j</v>
      </c>
      <c r="V250" s="86" t="str">
        <f t="shared" si="121"/>
        <v>-0.00940524648364646-0.00240253764211968j</v>
      </c>
      <c r="X250" s="86" t="str">
        <f t="shared" si="122"/>
        <v>-0.111857260812846+0.0923469312652779j</v>
      </c>
      <c r="Y250" s="86">
        <f t="shared" si="123"/>
        <v>-16.769542126946877</v>
      </c>
      <c r="Z250" s="86">
        <f t="shared" si="124"/>
        <v>-39.542342279330654</v>
      </c>
      <c r="AB250" s="86" t="str">
        <f t="shared" si="125"/>
        <v>-0.00437402075166079-0.00111732845295973j</v>
      </c>
      <c r="AC250" s="86">
        <f t="shared" si="126"/>
        <v>-46.907855830392585</v>
      </c>
      <c r="AD250" s="86">
        <f t="shared" si="127"/>
        <v>14.329571882014363</v>
      </c>
      <c r="AF250" s="86" t="str">
        <f t="shared" si="128"/>
        <v>-0.00500164201583192-0.000737991915702703j</v>
      </c>
      <c r="AG250" s="86">
        <f t="shared" si="129"/>
        <v>-45.924212265141655</v>
      </c>
      <c r="AH250" s="86">
        <f t="shared" si="130"/>
        <v>8.3934267041255168</v>
      </c>
      <c r="AJ250" s="86" t="str">
        <f t="shared" si="131"/>
        <v>395.01929808516-6428.14017061561j</v>
      </c>
      <c r="AK250" s="86" t="str">
        <f t="shared" si="132"/>
        <v>19999.9999999999-0.00131898500933584j</v>
      </c>
      <c r="AL250" s="86" t="str">
        <f t="shared" si="146"/>
        <v>10000-6739.18871402852j</v>
      </c>
      <c r="AM250" s="86" t="str">
        <f t="shared" si="147"/>
        <v>470.455951001801-2572.91366317418j</v>
      </c>
      <c r="AN250" s="86" t="str">
        <f t="shared" si="148"/>
        <v>10470.4559510018-2572.91366317418j</v>
      </c>
      <c r="AO250" s="86" t="str">
        <f t="shared" si="149"/>
        <v>6965.46669286934-1100.63116600462j</v>
      </c>
      <c r="AP250" s="86" t="str">
        <f t="shared" si="150"/>
        <v>0.892018770427614+0.281148130575274j</v>
      </c>
      <c r="AQ250" s="86" t="str">
        <f t="shared" si="133"/>
        <v>1+100.902353214192j</v>
      </c>
      <c r="AR250" s="86">
        <f t="shared" si="134"/>
        <v>-3.2272172824057347E-6</v>
      </c>
      <c r="AS250" s="86" t="str">
        <f t="shared" si="135"/>
        <v>0.00396707823795418j</v>
      </c>
      <c r="AT250" s="86" t="str">
        <f t="shared" si="136"/>
        <v>-3.22721728240573E-06+0.00396707823795418j</v>
      </c>
      <c r="AU250" s="86" t="str">
        <f t="shared" si="137"/>
        <v>3.81520606176688-0.0409148721559314j</v>
      </c>
      <c r="AW250" s="86" t="str">
        <f t="shared" si="151"/>
        <v>0.863800814140757-1.19075838315568j</v>
      </c>
      <c r="AX250" s="86">
        <f t="shared" si="138"/>
        <v>3.3526877061785654</v>
      </c>
      <c r="AY250" s="86">
        <f t="shared" si="139"/>
        <v>125.95790943997945</v>
      </c>
      <c r="AZ250" s="86" t="str">
        <f t="shared" si="140"/>
        <v>-0.00510875090845332+0.00424325265080774j</v>
      </c>
      <c r="BA250" s="86">
        <f t="shared" si="141"/>
        <v>-43.555168124214028</v>
      </c>
      <c r="BB250" s="86">
        <f t="shared" si="142"/>
        <v>-39.712518678006148</v>
      </c>
      <c r="BD250" s="86" t="str">
        <f t="shared" si="143"/>
        <v>-0.00519919250564034+0.00531826914228223j</v>
      </c>
      <c r="BE250" s="86">
        <f t="shared" si="144"/>
        <v>-42.571524558963105</v>
      </c>
      <c r="BF250" s="86">
        <f t="shared" si="145"/>
        <v>-45.648663855894995</v>
      </c>
      <c r="BH250" s="86">
        <f t="shared" si="152"/>
        <v>43.571524558963105</v>
      </c>
      <c r="BI250" s="162">
        <f t="shared" si="153"/>
        <v>45.648663855894995</v>
      </c>
      <c r="BJ250" s="88"/>
      <c r="BK250" s="88"/>
      <c r="BL250" s="88"/>
      <c r="BM250" s="88"/>
      <c r="BN250" s="42"/>
      <c r="BO250" s="42"/>
      <c r="BP250" s="42"/>
    </row>
    <row r="251" spans="1:68" s="86" customFormat="1">
      <c r="A251" s="86">
        <v>187</v>
      </c>
      <c r="B251" s="86">
        <f t="shared" si="103"/>
        <v>549540.87385762541</v>
      </c>
      <c r="C251" s="86" t="str">
        <f t="shared" si="104"/>
        <v>3452867.14431686j</v>
      </c>
      <c r="D251" s="86">
        <f t="shared" si="105"/>
        <v>-2.718007658235801</v>
      </c>
      <c r="E251" s="86" t="str">
        <f t="shared" si="106"/>
        <v>-3.02883082834812j</v>
      </c>
      <c r="F251" s="86" t="str">
        <f t="shared" si="107"/>
        <v>-2.7180076582358-3.02883082834812j</v>
      </c>
      <c r="G251" s="86">
        <f t="shared" si="108"/>
        <v>12.19096569795072</v>
      </c>
      <c r="H251" s="86">
        <f t="shared" si="109"/>
        <v>-131.90412025166526</v>
      </c>
      <c r="J251" s="86">
        <f t="shared" si="110"/>
        <v>8.3707025411061284</v>
      </c>
      <c r="K251" s="86" t="str">
        <f t="shared" si="111"/>
        <v>1+148.238985506546j</v>
      </c>
      <c r="L251" s="86">
        <f t="shared" si="112"/>
        <v>-1391.475532232588</v>
      </c>
      <c r="M251" s="86" t="str">
        <f t="shared" si="113"/>
        <v>10.1694421192896j</v>
      </c>
      <c r="N251" s="86" t="str">
        <f t="shared" si="114"/>
        <v>-1391.47553223259+10.1694421192896j</v>
      </c>
      <c r="O251" s="86" t="str">
        <f t="shared" si="115"/>
        <v>0.0000599244935232418-0.106533225108193j</v>
      </c>
      <c r="P251" s="86" t="str">
        <f t="shared" si="116"/>
        <v>0.000501610110209498-0.891757938125382j</v>
      </c>
      <c r="R251" s="86">
        <f t="shared" si="117"/>
        <v>11.958146487294469</v>
      </c>
      <c r="S251" s="86" t="str">
        <f t="shared" si="118"/>
        <v>1+0.258965035823765j</v>
      </c>
      <c r="T251" s="86" t="str">
        <f t="shared" si="119"/>
        <v>-1391.47553223259+10.1694421192896j</v>
      </c>
      <c r="U251" s="86" t="str">
        <f t="shared" si="120"/>
        <v>-0.000717263114953472-0.000191350257613498j</v>
      </c>
      <c r="V251" s="86" t="str">
        <f t="shared" si="121"/>
        <v>-0.00857713739854675-0.00228819441092374j</v>
      </c>
      <c r="X251" s="86" t="str">
        <f t="shared" si="122"/>
        <v>-0.111851504314773+0.100259610684008j</v>
      </c>
      <c r="Y251" s="86">
        <f t="shared" si="123"/>
        <v>-16.466079965214952</v>
      </c>
      <c r="Z251" s="86">
        <f t="shared" si="124"/>
        <v>-41.871891618741358</v>
      </c>
      <c r="AB251" s="86" t="str">
        <f t="shared" si="125"/>
        <v>-0.00398889885941022-0.00106415178534846j</v>
      </c>
      <c r="AC251" s="86">
        <f t="shared" si="126"/>
        <v>-47.684352745086478</v>
      </c>
      <c r="AD251" s="86">
        <f t="shared" si="127"/>
        <v>14.937390219056653</v>
      </c>
      <c r="AF251" s="86" t="str">
        <f t="shared" si="128"/>
        <v>-0.00456829376016339-0.000682471945185976j</v>
      </c>
      <c r="AG251" s="86">
        <f t="shared" si="129"/>
        <v>-46.709058091106037</v>
      </c>
      <c r="AH251" s="86">
        <f t="shared" si="130"/>
        <v>8.4967595944571315</v>
      </c>
      <c r="AJ251" s="86" t="str">
        <f t="shared" si="131"/>
        <v>360.381176071546-6140.85897048984j</v>
      </c>
      <c r="AK251" s="86" t="str">
        <f t="shared" si="132"/>
        <v>19999.9999999999-0.00138114685772674j</v>
      </c>
      <c r="AL251" s="86" t="str">
        <f t="shared" si="146"/>
        <v>10000-6435.87525769654j</v>
      </c>
      <c r="AM251" s="86" t="str">
        <f t="shared" si="147"/>
        <v>448.329818788504-2477.76162169931j</v>
      </c>
      <c r="AN251" s="86" t="str">
        <f t="shared" si="148"/>
        <v>10448.3298187885-2477.76162169931j</v>
      </c>
      <c r="AO251" s="86" t="str">
        <f t="shared" si="149"/>
        <v>6949.41196031547-1062.00409711485j</v>
      </c>
      <c r="AP251" s="86" t="str">
        <f t="shared" si="150"/>
        <v>0.900393302773613+0.271566043136414j</v>
      </c>
      <c r="AQ251" s="86" t="str">
        <f t="shared" si="133"/>
        <v>1+105.657734616096j</v>
      </c>
      <c r="AR251" s="86">
        <f t="shared" si="134"/>
        <v>-3.5482212039886875E-6</v>
      </c>
      <c r="AS251" s="86" t="str">
        <f t="shared" si="135"/>
        <v>0.00415404087531328j</v>
      </c>
      <c r="AT251" s="86" t="str">
        <f t="shared" si="136"/>
        <v>-3.54822120398869E-06+0.00415404087531328j</v>
      </c>
      <c r="AU251" s="86" t="str">
        <f t="shared" si="137"/>
        <v>3.81520571919439-0.0393682197020007j</v>
      </c>
      <c r="AW251" s="86" t="str">
        <f t="shared" si="151"/>
        <v>0.796439410453296-1.17901495595138j</v>
      </c>
      <c r="AX251" s="86">
        <f t="shared" si="138"/>
        <v>3.0629461258239306</v>
      </c>
      <c r="AY251" s="86">
        <f t="shared" si="139"/>
        <v>124.03952037028797</v>
      </c>
      <c r="AZ251" s="86" t="str">
        <f t="shared" si="140"/>
        <v>-0.00443156712627469+0.0038554389924663j</v>
      </c>
      <c r="BA251" s="86">
        <f t="shared" si="141"/>
        <v>-44.621406619262551</v>
      </c>
      <c r="BB251" s="86">
        <f t="shared" si="142"/>
        <v>-41.023089410655416</v>
      </c>
      <c r="BD251" s="86" t="str">
        <f t="shared" si="143"/>
        <v>-0.00444301381951349+0.00484253911273717j</v>
      </c>
      <c r="BE251" s="86">
        <f t="shared" si="144"/>
        <v>-43.646111965282117</v>
      </c>
      <c r="BF251" s="86">
        <f t="shared" si="145"/>
        <v>-47.463720035254937</v>
      </c>
      <c r="BH251" s="86">
        <f t="shared" si="152"/>
        <v>44.646111965282117</v>
      </c>
      <c r="BI251" s="162">
        <f t="shared" si="153"/>
        <v>47.463720035254937</v>
      </c>
      <c r="BJ251" s="88"/>
      <c r="BK251" s="88"/>
      <c r="BL251" s="88"/>
      <c r="BM251" s="88"/>
      <c r="BN251" s="42"/>
      <c r="BO251" s="42"/>
      <c r="BP251" s="42"/>
    </row>
    <row r="252" spans="1:68" s="86" customFormat="1">
      <c r="A252" s="86">
        <v>188</v>
      </c>
      <c r="B252" s="86">
        <f t="shared" si="103"/>
        <v>575439.93733715767</v>
      </c>
      <c r="C252" s="86" t="str">
        <f t="shared" si="104"/>
        <v>3615595.75944117j</v>
      </c>
      <c r="D252" s="86">
        <f t="shared" si="105"/>
        <v>-3.0767143303489384</v>
      </c>
      <c r="E252" s="86" t="str">
        <f t="shared" si="106"/>
        <v>-3.17157522757997j</v>
      </c>
      <c r="F252" s="86" t="str">
        <f t="shared" si="107"/>
        <v>-3.07671433034894-3.17157522757997j</v>
      </c>
      <c r="G252" s="86">
        <f t="shared" si="108"/>
        <v>12.90592388132211</v>
      </c>
      <c r="H252" s="86">
        <f t="shared" si="109"/>
        <v>-134.13020811880116</v>
      </c>
      <c r="J252" s="86">
        <f t="shared" si="110"/>
        <v>8.3707025411061284</v>
      </c>
      <c r="K252" s="86" t="str">
        <f t="shared" si="111"/>
        <v>1+155.225273658008j</v>
      </c>
      <c r="L252" s="86">
        <f t="shared" si="112"/>
        <v>-1525.8190597559094</v>
      </c>
      <c r="M252" s="86" t="str">
        <f t="shared" si="113"/>
        <v>10.6487131608594j</v>
      </c>
      <c r="N252" s="86" t="str">
        <f t="shared" si="114"/>
        <v>-1525.81905975591+10.6487131608594j</v>
      </c>
      <c r="O252" s="86" t="str">
        <f t="shared" si="115"/>
        <v>0.0000546036953803759-0.101732044311827j</v>
      </c>
      <c r="P252" s="86" t="str">
        <f t="shared" si="116"/>
        <v>0.000457071291674298-0.851568681832932j</v>
      </c>
      <c r="R252" s="86">
        <f t="shared" si="117"/>
        <v>11.958146487294469</v>
      </c>
      <c r="S252" s="86" t="str">
        <f t="shared" si="118"/>
        <v>1+0.271169681958088j</v>
      </c>
      <c r="T252" s="86" t="str">
        <f t="shared" si="119"/>
        <v>-1525.81905975591+10.6487131608594j</v>
      </c>
      <c r="U252" s="86" t="str">
        <f t="shared" si="120"/>
        <v>-0.000654113529655844-0.00018228580088292j</v>
      </c>
      <c r="V252" s="86" t="str">
        <f t="shared" si="121"/>
        <v>-0.00782198540694582-0.00217980030951175j</v>
      </c>
      <c r="X252" s="86" t="str">
        <f t="shared" si="122"/>
        <v>-0.11184625182475+0.108384496043816j</v>
      </c>
      <c r="Y252" s="86">
        <f t="shared" si="123"/>
        <v>-16.151667964205913</v>
      </c>
      <c r="Z252" s="86">
        <f t="shared" si="124"/>
        <v>-44.09945516370388</v>
      </c>
      <c r="AB252" s="86" t="str">
        <f t="shared" si="125"/>
        <v>-0.00363770652355132-0.00101374183067496j</v>
      </c>
      <c r="AC252" s="86">
        <f t="shared" si="126"/>
        <v>-48.458627726014107</v>
      </c>
      <c r="AD252" s="86">
        <f t="shared" si="127"/>
        <v>15.571882493076799</v>
      </c>
      <c r="AF252" s="86" t="str">
        <f t="shared" si="128"/>
        <v>-0.00417295233766287-0.000632163626732473j</v>
      </c>
      <c r="AG252" s="86">
        <f t="shared" si="129"/>
        <v>-47.492589808860295</v>
      </c>
      <c r="AH252" s="86">
        <f t="shared" si="130"/>
        <v>8.6142807449498378</v>
      </c>
      <c r="AJ252" s="86" t="str">
        <f t="shared" si="131"/>
        <v>328.770826530692-5866.24637475661j</v>
      </c>
      <c r="AK252" s="86" t="str">
        <f t="shared" si="132"/>
        <v>19999.9999999999-0.00144623830377646j</v>
      </c>
      <c r="AL252" s="86" t="str">
        <f t="shared" si="146"/>
        <v>10000-6146.21315565899j</v>
      </c>
      <c r="AM252" s="86" t="str">
        <f t="shared" si="147"/>
        <v>426.343805119576-2385.8379339869j</v>
      </c>
      <c r="AN252" s="86" t="str">
        <f t="shared" si="148"/>
        <v>10426.3438051196-2385.8379339869j</v>
      </c>
      <c r="AO252" s="86" t="str">
        <f t="shared" si="149"/>
        <v>6933.83734575412-1024.56449459741j</v>
      </c>
      <c r="AP252" s="86" t="str">
        <f t="shared" si="150"/>
        <v>0.908199795004468+0.262078001060526j</v>
      </c>
      <c r="AQ252" s="86" t="str">
        <f t="shared" si="133"/>
        <v>1+110.6372302389j</v>
      </c>
      <c r="AR252" s="86">
        <f t="shared" si="134"/>
        <v>-3.9001950048808343E-6</v>
      </c>
      <c r="AS252" s="86" t="str">
        <f t="shared" si="135"/>
        <v>0.00434981479031089j</v>
      </c>
      <c r="AT252" s="86" t="str">
        <f t="shared" si="136"/>
        <v>-3.90019500488083E-06+0.00434981479031089j</v>
      </c>
      <c r="AU252" s="86" t="str">
        <f t="shared" si="137"/>
        <v>3.81520535900209-0.0379050724759686j</v>
      </c>
      <c r="AW252" s="86" t="str">
        <f t="shared" si="151"/>
        <v>0.731765998747916-1.16376143024332j</v>
      </c>
      <c r="AX252" s="86">
        <f t="shared" si="138"/>
        <v>2.764209334035042</v>
      </c>
      <c r="AY252" s="86">
        <f t="shared" si="139"/>
        <v>122.16142779487558</v>
      </c>
      <c r="AZ252" s="86" t="str">
        <f t="shared" si="140"/>
        <v>-0.00384170359012212+0.00349160074345714j</v>
      </c>
      <c r="BA252" s="86">
        <f t="shared" si="141"/>
        <v>-45.694418391979063</v>
      </c>
      <c r="BB252" s="86">
        <f t="shared" si="142"/>
        <v>-42.266689712047594</v>
      </c>
      <c r="BD252" s="86" t="str">
        <f t="shared" si="143"/>
        <v>-0.00378931228149132+0.00439372513312776j</v>
      </c>
      <c r="BE252" s="86">
        <f t="shared" si="144"/>
        <v>-44.728380474825229</v>
      </c>
      <c r="BF252" s="86">
        <f t="shared" si="145"/>
        <v>-49.224291460174555</v>
      </c>
      <c r="BH252" s="86">
        <f t="shared" si="152"/>
        <v>45.728380474825229</v>
      </c>
      <c r="BI252" s="162">
        <f t="shared" si="153"/>
        <v>49.224291460174555</v>
      </c>
      <c r="BJ252" s="88"/>
      <c r="BK252" s="88"/>
      <c r="BL252" s="88"/>
      <c r="BM252" s="88"/>
      <c r="BN252" s="42"/>
      <c r="BO252" s="42"/>
      <c r="BP252" s="42"/>
    </row>
    <row r="253" spans="1:68" s="86" customFormat="1">
      <c r="A253" s="86">
        <v>189</v>
      </c>
      <c r="B253" s="86">
        <f t="shared" si="103"/>
        <v>602559.58607435855</v>
      </c>
      <c r="C253" s="86" t="str">
        <f t="shared" si="104"/>
        <v>3785993.53792262j</v>
      </c>
      <c r="D253" s="86">
        <f t="shared" si="105"/>
        <v>-3.4700283751320509</v>
      </c>
      <c r="E253" s="86" t="str">
        <f t="shared" si="106"/>
        <v>-3.32104696309002j</v>
      </c>
      <c r="F253" s="86" t="str">
        <f t="shared" si="107"/>
        <v>-3.47002837513205-3.32104696309002j</v>
      </c>
      <c r="G253" s="86">
        <f t="shared" si="108"/>
        <v>13.630560629977762</v>
      </c>
      <c r="H253" s="86">
        <f t="shared" si="109"/>
        <v>-136.25674311312781</v>
      </c>
      <c r="J253" s="86">
        <f t="shared" si="110"/>
        <v>8.3707025411061284</v>
      </c>
      <c r="K253" s="86" t="str">
        <f t="shared" si="111"/>
        <v>1+162.540815426314j</v>
      </c>
      <c r="L253" s="86">
        <f t="shared" si="112"/>
        <v>-1673.1238084781837</v>
      </c>
      <c r="M253" s="86" t="str">
        <f t="shared" si="113"/>
        <v>11.1505715507412j</v>
      </c>
      <c r="N253" s="86" t="str">
        <f t="shared" si="114"/>
        <v>-1673.12380847818+11.1505715507412j</v>
      </c>
      <c r="O253" s="86" t="str">
        <f t="shared" si="115"/>
        <v>0.0000497591696238744-0.0971477781617215j</v>
      </c>
      <c r="P253" s="86" t="str">
        <f t="shared" si="116"/>
        <v>0.000416519207613896-0.813195153521137j</v>
      </c>
      <c r="R253" s="86">
        <f t="shared" si="117"/>
        <v>11.958146487294469</v>
      </c>
      <c r="S253" s="86" t="str">
        <f t="shared" si="118"/>
        <v>1+0.283949515344196j</v>
      </c>
      <c r="T253" s="86" t="str">
        <f t="shared" si="119"/>
        <v>-1673.12380847818+11.1505715507412j</v>
      </c>
      <c r="U253" s="86" t="str">
        <f t="shared" si="120"/>
        <v>-0.000596526854210709-0.000173687762520296j</v>
      </c>
      <c r="V253" s="86" t="str">
        <f t="shared" si="121"/>
        <v>-0.00713335550625661-0.00207698370726811j</v>
      </c>
      <c r="X253" s="86" t="str">
        <f t="shared" si="122"/>
        <v>-0.111841459417224+0.116738880503476j</v>
      </c>
      <c r="Y253" s="86">
        <f t="shared" si="123"/>
        <v>-15.827529313988391</v>
      </c>
      <c r="Z253" s="86">
        <f t="shared" si="124"/>
        <v>-46.227396171631483</v>
      </c>
      <c r="AB253" s="86" t="str">
        <f t="shared" si="125"/>
        <v>-0.00331745107027149-0.000965925757740467j</v>
      </c>
      <c r="AC253" s="86">
        <f t="shared" si="126"/>
        <v>-49.230504482108273</v>
      </c>
      <c r="AD253" s="86">
        <f t="shared" si="127"/>
        <v>16.233713096727939</v>
      </c>
      <c r="AF253" s="86" t="str">
        <f t="shared" si="128"/>
        <v>-0.00381228739866656-0.000586475917149702j</v>
      </c>
      <c r="AG253" s="86">
        <f t="shared" si="129"/>
        <v>-48.274703559963754</v>
      </c>
      <c r="AH253" s="86">
        <f t="shared" si="130"/>
        <v>8.745724210359981</v>
      </c>
      <c r="AJ253" s="86" t="str">
        <f t="shared" si="131"/>
        <v>299.925189046374-5603.76567415562j</v>
      </c>
      <c r="AK253" s="86" t="str">
        <f t="shared" si="132"/>
        <v>19999.9999999999-0.00151439741516904j</v>
      </c>
      <c r="AL253" s="86" t="str">
        <f t="shared" si="146"/>
        <v>10000-5869.58799576176j</v>
      </c>
      <c r="AM253" s="86" t="str">
        <f t="shared" si="147"/>
        <v>404.58863195863-2296.97315437472j</v>
      </c>
      <c r="AN253" s="86" t="str">
        <f t="shared" si="148"/>
        <v>10404.5886319586-2296.97315437472j</v>
      </c>
      <c r="AO253" s="86" t="str">
        <f t="shared" si="149"/>
        <v>6918.75009976493-988.24836899351j</v>
      </c>
      <c r="AP253" s="86" t="str">
        <f t="shared" si="150"/>
        <v>0.915464323132925+0.252712626972336j</v>
      </c>
      <c r="AQ253" s="86" t="str">
        <f t="shared" si="133"/>
        <v>1+115.851402260432j</v>
      </c>
      <c r="AR253" s="86">
        <f t="shared" si="134"/>
        <v>-4.2861266031726909E-6</v>
      </c>
      <c r="AS253" s="86" t="str">
        <f t="shared" si="135"/>
        <v>0.00455481524566857j</v>
      </c>
      <c r="AT253" s="86" t="str">
        <f t="shared" si="136"/>
        <v>-4.28612660317269E-06+0.00455481524566857j</v>
      </c>
      <c r="AU253" s="86" t="str">
        <f t="shared" si="137"/>
        <v>3.81520497813231-0.0365223269399398j</v>
      </c>
      <c r="AW253" s="86" t="str">
        <f t="shared" si="151"/>
        <v>0.669940016083102-1.14539969971398j</v>
      </c>
      <c r="AX253" s="86">
        <f t="shared" si="138"/>
        <v>2.4570018757650987</v>
      </c>
      <c r="AY253" s="86">
        <f t="shared" si="139"/>
        <v>120.32320613073244</v>
      </c>
      <c r="AZ253" s="86" t="str">
        <f t="shared" si="140"/>
        <v>-0.00332886429623452+0.00315269514202906j</v>
      </c>
      <c r="BA253" s="86">
        <f t="shared" si="141"/>
        <v>-46.773502606343165</v>
      </c>
      <c r="BB253" s="86">
        <f t="shared" si="142"/>
        <v>-43.443080772539645</v>
      </c>
      <c r="BD253" s="86" t="str">
        <f t="shared" si="143"/>
        <v>-0.00322575322056883+0.00397368915628845j</v>
      </c>
      <c r="BE253" s="86">
        <f t="shared" si="144"/>
        <v>-45.817701684198653</v>
      </c>
      <c r="BF253" s="86">
        <f t="shared" si="145"/>
        <v>-50.931069658907603</v>
      </c>
      <c r="BH253" s="86">
        <f t="shared" si="152"/>
        <v>46.817701684198653</v>
      </c>
      <c r="BI253" s="162">
        <f t="shared" si="153"/>
        <v>50.931069658907603</v>
      </c>
      <c r="BJ253" s="88"/>
      <c r="BK253" s="88"/>
      <c r="BL253" s="88"/>
      <c r="BM253" s="88"/>
      <c r="BN253" s="42"/>
      <c r="BO253" s="42"/>
      <c r="BP253" s="42"/>
    </row>
    <row r="254" spans="1:68" s="86" customFormat="1">
      <c r="A254" s="86">
        <v>190</v>
      </c>
      <c r="B254" s="86">
        <f t="shared" si="103"/>
        <v>630957.3444801938</v>
      </c>
      <c r="C254" s="86" t="str">
        <f t="shared" si="104"/>
        <v>3964421.916295j</v>
      </c>
      <c r="D254" s="86">
        <f t="shared" si="105"/>
        <v>-3.9012886494736456</v>
      </c>
      <c r="E254" s="86" t="str">
        <f t="shared" si="106"/>
        <v>-3.4775630844693j</v>
      </c>
      <c r="F254" s="86" t="str">
        <f t="shared" si="107"/>
        <v>-3.90128864947365-3.4775630844693j</v>
      </c>
      <c r="G254" s="86">
        <f t="shared" si="108"/>
        <v>14.363773252791788</v>
      </c>
      <c r="H254" s="86">
        <f t="shared" si="109"/>
        <v>-138.28656198060349</v>
      </c>
      <c r="J254" s="86">
        <f t="shared" si="110"/>
        <v>8.3707025411061284</v>
      </c>
      <c r="K254" s="86" t="str">
        <f t="shared" si="111"/>
        <v>1+170.201128056365j</v>
      </c>
      <c r="L254" s="86">
        <f t="shared" si="112"/>
        <v>-1834.6402536405189</v>
      </c>
      <c r="M254" s="86" t="str">
        <f t="shared" si="113"/>
        <v>11.6760817978653j</v>
      </c>
      <c r="N254" s="86" t="str">
        <f t="shared" si="114"/>
        <v>-1834.64025364052+11.6760817978653j</v>
      </c>
      <c r="O254" s="86" t="str">
        <f t="shared" si="115"/>
        <v>0.0000453476445966326-0.0927705571900672j</v>
      </c>
      <c r="P254" s="86" t="str">
        <f t="shared" si="116"/>
        <v>0.00037959164385821-0.776554738810727j</v>
      </c>
      <c r="R254" s="86">
        <f t="shared" si="117"/>
        <v>11.958146487294469</v>
      </c>
      <c r="S254" s="86" t="str">
        <f t="shared" si="118"/>
        <v>1+0.297331643722125j</v>
      </c>
      <c r="T254" s="86" t="str">
        <f t="shared" si="119"/>
        <v>-1834.64025364052+11.6760817978653j</v>
      </c>
      <c r="U254" s="86" t="str">
        <f t="shared" si="120"/>
        <v>-0.00054401253016572-0.00016552758935753j</v>
      </c>
      <c r="V254" s="86" t="str">
        <f t="shared" si="121"/>
        <v>-0.00650538152664538-0.00197940316122607j</v>
      </c>
      <c r="X254" s="86" t="str">
        <f t="shared" si="122"/>
        <v>-0.111837086960461+0.125340536368056j</v>
      </c>
      <c r="Y254" s="86">
        <f t="shared" si="123"/>
        <v>-15.494770940894426</v>
      </c>
      <c r="Z254" s="86">
        <f t="shared" si="124"/>
        <v>-48.258554943478828</v>
      </c>
      <c r="AB254" s="86" t="str">
        <f t="shared" si="125"/>
        <v>-0.00302540436813577-0.000920544774468161j</v>
      </c>
      <c r="AC254" s="86">
        <f t="shared" si="126"/>
        <v>-49.999794030939093</v>
      </c>
      <c r="AD254" s="86">
        <f t="shared" si="127"/>
        <v>16.923518339040271</v>
      </c>
      <c r="AF254" s="86" t="str">
        <f t="shared" si="128"/>
        <v>-0.00348325870360909-0.0005448901920402j</v>
      </c>
      <c r="AG254" s="86">
        <f t="shared" si="129"/>
        <v>-49.055289930289554</v>
      </c>
      <c r="AH254" s="86">
        <f t="shared" si="130"/>
        <v>8.890791081328473</v>
      </c>
      <c r="AJ254" s="86" t="str">
        <f t="shared" si="131"/>
        <v>273.603789590231-5352.90004327525j</v>
      </c>
      <c r="AK254" s="86" t="str">
        <f t="shared" si="132"/>
        <v>19999.9999999999-0.00158576876651799j</v>
      </c>
      <c r="AL254" s="86" t="str">
        <f t="shared" si="146"/>
        <v>10000-5605.41301895291j</v>
      </c>
      <c r="AM254" s="86" t="str">
        <f t="shared" si="147"/>
        <v>383.151199131686-2211.01635415198j</v>
      </c>
      <c r="AN254" s="86" t="str">
        <f t="shared" si="148"/>
        <v>10383.1511991317-2211.01635415198j</v>
      </c>
      <c r="AO254" s="86" t="str">
        <f t="shared" si="149"/>
        <v>6904.15940577792-952.999346654215j</v>
      </c>
      <c r="AP254" s="86" t="str">
        <f t="shared" si="150"/>
        <v>0.922213745419644+0.243494838196926j</v>
      </c>
      <c r="AQ254" s="86" t="str">
        <f t="shared" si="133"/>
        <v>1+121.311310638627j</v>
      </c>
      <c r="AR254" s="86">
        <f t="shared" si="134"/>
        <v>-4.7092921859024305E-6</v>
      </c>
      <c r="AS254" s="86" t="str">
        <f t="shared" si="135"/>
        <v>0.00476947707483703j</v>
      </c>
      <c r="AT254" s="86" t="str">
        <f t="shared" si="136"/>
        <v>-4.70929218590243E-06+0.00476947707483703j</v>
      </c>
      <c r="AU254" s="86" t="str">
        <f t="shared" si="137"/>
        <v>3.81520457335188-0.0352170500978128j</v>
      </c>
      <c r="AW254" s="86" t="str">
        <f t="shared" si="151"/>
        <v>0.611070768910133-1.12432050622587j</v>
      </c>
      <c r="AX254" s="86">
        <f t="shared" si="138"/>
        <v>2.1418239216724038</v>
      </c>
      <c r="AY254" s="86">
        <f t="shared" si="139"/>
        <v>118.52418139809069</v>
      </c>
      <c r="AZ254" s="86" t="str">
        <f t="shared" si="140"/>
        <v>-0.00288372354033442+0.00283900616756991j</v>
      </c>
      <c r="BA254" s="86">
        <f t="shared" si="141"/>
        <v>-47.857970109266681</v>
      </c>
      <c r="BB254" s="86">
        <f t="shared" si="142"/>
        <v>-44.552300262869124</v>
      </c>
      <c r="BD254" s="86" t="str">
        <f t="shared" si="143"/>
        <v>-0.00274114879087947+0.00358333272033586j</v>
      </c>
      <c r="BE254" s="86">
        <f t="shared" si="144"/>
        <v>-46.913466008617128</v>
      </c>
      <c r="BF254" s="86">
        <f t="shared" si="145"/>
        <v>-52.585027520580923</v>
      </c>
      <c r="BH254" s="86">
        <f t="shared" si="152"/>
        <v>47.913466008617128</v>
      </c>
      <c r="BI254" s="162">
        <f t="shared" si="153"/>
        <v>52.585027520580923</v>
      </c>
      <c r="BJ254" s="88"/>
      <c r="BK254" s="88"/>
      <c r="BL254" s="88"/>
      <c r="BM254" s="88"/>
      <c r="BN254" s="42"/>
      <c r="BO254" s="42"/>
      <c r="BP254" s="42"/>
    </row>
    <row r="255" spans="1:68" s="86" customFormat="1">
      <c r="A255" s="86">
        <v>191</v>
      </c>
      <c r="B255" s="86">
        <f t="shared" si="103"/>
        <v>660693.44800759654</v>
      </c>
      <c r="C255" s="86" t="str">
        <f t="shared" si="104"/>
        <v>4151259.36507115j</v>
      </c>
      <c r="D255" s="86">
        <f t="shared" si="105"/>
        <v>-4.3741561371519344</v>
      </c>
      <c r="E255" s="86" t="str">
        <f t="shared" si="106"/>
        <v>-3.64145558339575j</v>
      </c>
      <c r="F255" s="86" t="str">
        <f t="shared" si="107"/>
        <v>-4.37415613715193-3.64145558339575j</v>
      </c>
      <c r="G255" s="86">
        <f t="shared" si="108"/>
        <v>15.104570791655249</v>
      </c>
      <c r="H255" s="86">
        <f t="shared" si="109"/>
        <v>-140.22284617730222</v>
      </c>
      <c r="J255" s="86">
        <f t="shared" si="110"/>
        <v>8.3707025411061284</v>
      </c>
      <c r="K255" s="86" t="str">
        <f t="shared" si="111"/>
        <v>1+178.222460098287j</v>
      </c>
      <c r="L255" s="86">
        <f t="shared" si="112"/>
        <v>-2011.7395140795761</v>
      </c>
      <c r="M255" s="86" t="str">
        <f t="shared" si="113"/>
        <v>12.2263585799222j</v>
      </c>
      <c r="N255" s="86" t="str">
        <f t="shared" si="114"/>
        <v>-2011.73951407958+12.2263585799222j</v>
      </c>
      <c r="O255" s="86" t="str">
        <f t="shared" si="115"/>
        <v>0.0000413298862188757-0.088590969922773j</v>
      </c>
      <c r="P255" s="86" t="str">
        <f t="shared" si="116"/>
        <v>0.00034596018359597-0.741568657051613j</v>
      </c>
      <c r="R255" s="86">
        <f t="shared" si="117"/>
        <v>11.958146487294469</v>
      </c>
      <c r="S255" s="86" t="str">
        <f t="shared" si="118"/>
        <v>1+0.311344452380336j</v>
      </c>
      <c r="T255" s="86" t="str">
        <f t="shared" si="119"/>
        <v>-2011.73951407958+12.2263585799222j</v>
      </c>
      <c r="U255" s="86" t="str">
        <f t="shared" si="120"/>
        <v>-0.000496123345230579-0.000157778992795804j</v>
      </c>
      <c r="V255" s="86" t="str">
        <f t="shared" si="121"/>
        <v>-0.00593271563803383-0.00188674430847j</v>
      </c>
      <c r="X255" s="86" t="str">
        <f t="shared" si="122"/>
        <v>-0.111833097794757+0.134207753776781j</v>
      </c>
      <c r="Y255" s="86">
        <f t="shared" si="123"/>
        <v>-15.154387664855619</v>
      </c>
      <c r="Z255" s="86">
        <f t="shared" si="124"/>
        <v>-50.196116276067755</v>
      </c>
      <c r="AB255" s="86" t="str">
        <f t="shared" si="125"/>
        <v>-0.00275907934572296-0.000877452682678239j</v>
      </c>
      <c r="AC255" s="86">
        <f t="shared" si="126"/>
        <v>-50.766294404692864</v>
      </c>
      <c r="AD255" s="86">
        <f t="shared" si="127"/>
        <v>17.641898344218902</v>
      </c>
      <c r="AF255" s="86" t="str">
        <f t="shared" si="128"/>
        <v>-0.00318309104561581-0.000506951094733664j</v>
      </c>
      <c r="AG255" s="86">
        <f t="shared" si="129"/>
        <v>-49.83423410399655</v>
      </c>
      <c r="AH255" s="86">
        <f t="shared" si="130"/>
        <v>9.0491425136726207</v>
      </c>
      <c r="AJ255" s="86" t="str">
        <f t="shared" si="131"/>
        <v>249.586846515358-5113.15218726757j</v>
      </c>
      <c r="AK255" s="86" t="str">
        <f t="shared" si="132"/>
        <v>19999.9999999999-0.00166050374602845j</v>
      </c>
      <c r="AL255" s="86" t="str">
        <f t="shared" si="146"/>
        <v>10000-5353.12787468805j</v>
      </c>
      <c r="AM255" s="86" t="str">
        <f t="shared" si="147"/>
        <v>362.11324467801-2127.83396054709j</v>
      </c>
      <c r="AN255" s="86" t="str">
        <f t="shared" si="148"/>
        <v>10362.113244678-2127.83396054709j</v>
      </c>
      <c r="AO255" s="86" t="str">
        <f t="shared" si="149"/>
        <v>6890.07539390399-918.768345852358j</v>
      </c>
      <c r="AP255" s="86" t="str">
        <f t="shared" si="150"/>
        <v>0.928475305585312+0.234446038667076j</v>
      </c>
      <c r="AQ255" s="86" t="str">
        <f t="shared" si="133"/>
        <v>1+127.028536571177j</v>
      </c>
      <c r="AR255" s="86">
        <f t="shared" si="134"/>
        <v>-5.1732840207238161E-6</v>
      </c>
      <c r="AS255" s="86" t="str">
        <f t="shared" si="135"/>
        <v>0.00499425560433615j</v>
      </c>
      <c r="AT255" s="86" t="str">
        <f t="shared" si="136"/>
        <v>-5.17328402072382E-06+0.00499425560433615j</v>
      </c>
      <c r="AU255" s="86" t="str">
        <f t="shared" si="137"/>
        <v>3.8152041412246-0.0339864732738601j</v>
      </c>
      <c r="AW255" s="86" t="str">
        <f t="shared" si="151"/>
        <v>0.555222773188995-1.10089847561565j</v>
      </c>
      <c r="AX255" s="86">
        <f t="shared" si="138"/>
        <v>1.8191494965957959</v>
      </c>
      <c r="AY255" s="86">
        <f t="shared" si="139"/>
        <v>116.76345551570249</v>
      </c>
      <c r="AZ255" s="86" t="str">
        <f t="shared" si="140"/>
        <v>-0.00249789000656612+0.0025502845339903j</v>
      </c>
      <c r="BA255" s="86">
        <f t="shared" si="141"/>
        <v>-48.947144908097052</v>
      </c>
      <c r="BB255" s="86">
        <f t="shared" si="142"/>
        <v>-45.594646140078623</v>
      </c>
      <c r="BD255" s="86" t="str">
        <f t="shared" si="143"/>
        <v>-0.00232542632506385+0.00322278928717506j</v>
      </c>
      <c r="BE255" s="86">
        <f t="shared" si="144"/>
        <v>-48.015084607400723</v>
      </c>
      <c r="BF255" s="86">
        <f t="shared" si="145"/>
        <v>-54.187401970624904</v>
      </c>
      <c r="BH255" s="86">
        <f t="shared" si="152"/>
        <v>49.015084607400723</v>
      </c>
      <c r="BI255" s="162">
        <f t="shared" si="153"/>
        <v>54.187401970624904</v>
      </c>
      <c r="BJ255" s="88"/>
      <c r="BK255" s="88"/>
      <c r="BL255" s="88"/>
      <c r="BM255" s="88"/>
      <c r="BN255" s="42"/>
      <c r="BO255" s="42"/>
      <c r="BP255" s="42"/>
    </row>
    <row r="256" spans="1:68" s="86" customFormat="1">
      <c r="A256" s="86">
        <v>192</v>
      </c>
      <c r="B256" s="86">
        <f t="shared" ref="B256:B264" si="154">Fstart*10^(Step*A256)</f>
        <v>691830.97091893689</v>
      </c>
      <c r="C256" s="86" t="str">
        <f t="shared" ref="C256:C264" si="155">COMPLEX(0,2*PI()*B256,"j")</f>
        <v>4346902.19152965j</v>
      </c>
      <c r="D256" s="86">
        <f t="shared" ref="D256:D264" si="156">(IMPRODUCT(C256,C256))/wn^2 + 1</f>
        <v>-4.892645027056191</v>
      </c>
      <c r="E256" s="86" t="str">
        <f t="shared" ref="E256:E264" si="157">IMDIV(C256,wn*Qn)</f>
        <v>-3.81307209783303j</v>
      </c>
      <c r="F256" s="86" t="str">
        <f t="shared" ref="F256:F264" si="158">IMSUM(D256,E256)</f>
        <v>-4.89264502705619-3.81307209783303j</v>
      </c>
      <c r="G256" s="86">
        <f t="shared" ref="G256:G264" si="159">20*LOG(IMABS(F256),10)</f>
        <v>15.852067812068643</v>
      </c>
      <c r="H256" s="86">
        <f t="shared" ref="H256:H264" si="160">(IMARGUMENT(F256)*(180/PI()))</f>
        <v>-142.06900998477508</v>
      </c>
      <c r="J256" s="86">
        <f t="shared" ref="J256:J264" si="161">Vin/(Rout+DCR/1000)</f>
        <v>8.3707025411061284</v>
      </c>
      <c r="K256" s="86" t="str">
        <f t="shared" ref="K256:K264" si="162">IMSUM(1,IMPRODUCT(C256,ncap*(Cap*10^-6)*(Rout+(ESR/(ncap*1000)))))</f>
        <v>1+186.621825872778j</v>
      </c>
      <c r="L256" s="86">
        <f t="shared" ref="L256:L264" si="163">(IMPRODUCT(C256,C256))/Gdo^2 + 1</f>
        <v>-2205.9249917040884</v>
      </c>
      <c r="M256" s="86" t="str">
        <f t="shared" ref="M256:M264" si="164">IMDIV(C256,Q*Gdo)</f>
        <v>12.8025691077436j</v>
      </c>
      <c r="N256" s="86" t="str">
        <f t="shared" ref="N256:N264" si="165">IMSUM(L256,M256)</f>
        <v>-2205.92499170409+12.8025691077436j</v>
      </c>
      <c r="O256" s="86" t="str">
        <f t="shared" ref="O256:O264" si="166">IMDIV(K256,N256)</f>
        <v>0.0000376703038805948-0.0846000404809518j</v>
      </c>
      <c r="P256" s="86" t="str">
        <f t="shared" ref="P256:P264" si="167">IMPRODUCT(J256,O256)</f>
        <v>0.000315326908417535-0.708161773831585j</v>
      </c>
      <c r="R256" s="86">
        <f t="shared" ref="R256:R264" si="168">Vin/(1+((DCR*10^-3)/Rout))</f>
        <v>11.958146487294469</v>
      </c>
      <c r="S256" s="86" t="str">
        <f t="shared" ref="S256:S264" si="169">IMSUM(1,IMPRODUCT(C256,ncap*(Cap*10^-6)*(ESR/(ncap*1000))))</f>
        <v>1+0.326017664364724j</v>
      </c>
      <c r="T256" s="86" t="str">
        <f t="shared" ref="T256:T264" si="170">IMSUM(L256,M256)</f>
        <v>-2205.92499170409+12.8025691077436j</v>
      </c>
      <c r="U256" s="86" t="str">
        <f t="shared" ref="U256:U264" si="171">IMDIV(S256,T256)</f>
        <v>-0.000452451588563495-0.000150417719706277j</v>
      </c>
      <c r="V256" s="86" t="str">
        <f t="shared" ref="V256:V264" si="172">IMPRODUCT(R256,U256)</f>
        <v>-0.00541048237445136-0.00179871712653246j</v>
      </c>
      <c r="X256" s="86" t="str">
        <f t="shared" ref="X256:X264" si="173">IMPRODUCT(Fm,Dmax,P256,F256)</f>
        <v>-0.111829458436911+0.143359380360869j</v>
      </c>
      <c r="Y256" s="86">
        <f t="shared" ref="Y256:Y264" si="174">20*LOG(IMABS(X256),10)</f>
        <v>-14.807268441788127</v>
      </c>
      <c r="Z256" s="86">
        <f t="shared" ref="Z256:Z264" si="175">IF((IMARGUMENT(X256)*(180/PI()))&lt;0,(IMARGUMENT(X256)*(180/PI()))+180,(IMARGUMENT(X256)*(180/PI()))-180)</f>
        <v>-52.043497594114058</v>
      </c>
      <c r="AB256" s="86" t="str">
        <f t="shared" ref="AB256:AB264" si="176">IMPRODUCT(Fm,V256)</f>
        <v>-0.00251620861010863-0.000836514604003268j</v>
      </c>
      <c r="AC256" s="86">
        <f t="shared" ref="AC256:AC264" si="177">20*LOG(IMABS(AB256),10)</f>
        <v>-51.529790444957527</v>
      </c>
      <c r="AD256" s="86">
        <f t="shared" ref="AD256:AD264" si="178">IF((IMARGUMENT(AB256)*(180/PI()))&lt;0,(IMARGUMENT(AB256)*(180/PI()))+180,(IMARGUMENT(AB256)*(180/PI()))-180)</f>
        <v>18.389408175756415</v>
      </c>
      <c r="AF256" s="86" t="str">
        <f t="shared" ref="AF256:AF264" si="179">IMDIV(AB256,IMSUM(1,X256))</f>
        <v>-0.00290925130204957-0.000472258558912806j</v>
      </c>
      <c r="AG256" s="86">
        <f t="shared" ref="AG256:AG264" si="180">20*LOG(IMABS(AF256),10)</f>
        <v>-50.611416129286589</v>
      </c>
      <c r="AH256" s="86">
        <f t="shared" ref="AH256:AH264" si="181">IF((IMARGUMENT(AF256)*(180/PI()))&lt;0,(IMARGUMENT(AF256)*(180/PI()))+180,(IMARGUMENT(AF256)*(180/PI()))-180)</f>
        <v>9.2203923604448903</v>
      </c>
      <c r="AJ256" s="86" t="str">
        <f t="shared" ref="AJ256:AJ264" si="182">IMDIV(_Rfb1,IMSUM(1,IMPRODUCT(C256,_Cfb1*_Rfb1)))</f>
        <v>227.67352770675-4884.04393653357j</v>
      </c>
      <c r="AK256" s="86" t="str">
        <f t="shared" ref="AK256:AK264" si="183">IMDIV(_Rfb2,IMSUM(1,IMPRODUCT(C256,_Cfb2*_Rfb2)))</f>
        <v>19999.9999999998-0.00173876087661185j</v>
      </c>
      <c r="AL256" s="86" t="str">
        <f t="shared" si="146"/>
        <v>10000-5112.19743235179j</v>
      </c>
      <c r="AM256" s="86" t="str">
        <f t="shared" si="147"/>
        <v>341.55018006797-2047.3084112917j</v>
      </c>
      <c r="AN256" s="86" t="str">
        <f t="shared" si="148"/>
        <v>10341.550180068-2047.3084112917j</v>
      </c>
      <c r="AO256" s="86" t="str">
        <f t="shared" si="149"/>
        <v>6876.50824769307-885.51313019413j</v>
      </c>
      <c r="AP256" s="86" t="str">
        <f t="shared" si="150"/>
        <v>0.934276290583472+0.225584337790667j</v>
      </c>
      <c r="AQ256" s="86" t="str">
        <f t="shared" ref="AQ256:AQ264" si="184">IMSUM(1,IMPRODUCT(C256,_res1*_Cap1))</f>
        <v>1+133.015207060807j</v>
      </c>
      <c r="AR256" s="86">
        <f t="shared" ref="AR256:AR264" si="185">(IMPRODUCT(C256,C256))*_res1*_Cap1*_cap2 + (1/Roerr)</f>
        <v>-5.6820409507939423E-6</v>
      </c>
      <c r="AS256" s="86" t="str">
        <f t="shared" ref="AS256:AS264" si="186">IMPRODUCT(C256,(_Cap1+_cap2+(_Cap1*_res1/Roerr)))</f>
        <v>0.00522962761956358j</v>
      </c>
      <c r="AT256" s="86" t="str">
        <f t="shared" ref="AT256:AT264" si="187">IMSUM(AR256,AS256)</f>
        <v>-5.68204095079394E-06+0.00522962761956358j</v>
      </c>
      <c r="AU256" s="86" t="str">
        <f t="shared" ref="AU256:AU264" si="188">IMPRODUCT(EA_BW,IMDIV(AQ256,AT256))</f>
        <v>3.81520367808213-0.0328279862398327j</v>
      </c>
      <c r="AW256" s="86" t="str">
        <f t="shared" si="151"/>
        <v>0.502421239616154-1.07548833845436j</v>
      </c>
      <c r="AX256" s="86">
        <f t="shared" ref="AX256:AX264" si="189">20*LOG(IMABS(AW256),10)</f>
        <v>1.4894251396783265</v>
      </c>
      <c r="AY256" s="86">
        <f t="shared" ref="AY256:AY264" si="190">IF((IMARGUMENT(AW256)*(180/PI()))&lt;0,(IMARGUMENT(AW256)*(180/PI()))+180,(IMARGUMENT(AW256)*(180/PI()))-180)</f>
        <v>115.03992992893872</v>
      </c>
      <c r="AZ256" s="86" t="str">
        <f t="shared" ref="AZ256:AZ264" si="191">IMPRODUCT(AW256,Fm,V256)</f>
        <v>-0.0021638583505759+0.00228587031298995j</v>
      </c>
      <c r="BA256" s="86">
        <f t="shared" ref="BA256:BA264" si="192">20*LOG(IMABS(AZ256),10)</f>
        <v>-50.040365305279195</v>
      </c>
      <c r="BB256" s="86">
        <f t="shared" ref="BB256:BB264" si="193">IF((IMARGUMENT(AZ256)*(180/PI()))&lt;0,(IMARGUMENT(AZ256)*(180/PI()))+180,(IMARGUMENT(AZ256)*(180/PI()))-180)</f>
        <v>-46.57066189530488</v>
      </c>
      <c r="BD256" s="86" t="str">
        <f t="shared" ref="BD256:BD264" si="194">IMDIV(AZ256,IMSUM(1,X256))</f>
        <v>-0.00196957821837664+0.00289159311839917j</v>
      </c>
      <c r="BE256" s="86">
        <f t="shared" ref="BE256:BE264" si="195">20*LOG(IMABS(BD256),10)</f>
        <v>-49.12199098960825</v>
      </c>
      <c r="BF256" s="86">
        <f t="shared" ref="BF256:BF264" si="196">IF((IMARGUMENT(BD256)*(180/PI()))&lt;0,(IMARGUMENT(BD256)*(180/PI()))+180,(IMARGUMENT(BD256)*(180/PI()))-180)</f>
        <v>-55.739677710616405</v>
      </c>
      <c r="BH256" s="86">
        <f t="shared" si="152"/>
        <v>50.12199098960825</v>
      </c>
      <c r="BI256" s="162">
        <f t="shared" si="153"/>
        <v>55.739677710616405</v>
      </c>
      <c r="BJ256" s="88"/>
      <c r="BK256" s="88"/>
      <c r="BL256" s="88"/>
      <c r="BM256" s="88"/>
      <c r="BN256" s="42"/>
      <c r="BO256" s="42"/>
      <c r="BP256" s="42"/>
    </row>
    <row r="257" spans="1:68" s="86" customFormat="1">
      <c r="A257" s="86">
        <v>193</v>
      </c>
      <c r="B257" s="86">
        <f t="shared" si="154"/>
        <v>724435.96007499041</v>
      </c>
      <c r="C257" s="86" t="str">
        <f t="shared" si="155"/>
        <v>4551765.38033572j</v>
      </c>
      <c r="D257" s="86">
        <f t="shared" si="156"/>
        <v>-5.4611567897786912</v>
      </c>
      <c r="E257" s="86" t="str">
        <f t="shared" si="157"/>
        <v>-3.9927766494173j</v>
      </c>
      <c r="F257" s="86" t="str">
        <f t="shared" si="158"/>
        <v>-5.46115678977869-3.9927766494173j</v>
      </c>
      <c r="G257" s="86">
        <f t="shared" si="159"/>
        <v>16.605476900927446</v>
      </c>
      <c r="H257" s="86">
        <f t="shared" si="160"/>
        <v>-143.82860819856708</v>
      </c>
      <c r="J257" s="86">
        <f t="shared" si="161"/>
        <v>8.3707025411061284</v>
      </c>
      <c r="K257" s="86" t="str">
        <f t="shared" si="162"/>
        <v>1+195.41704156077j</v>
      </c>
      <c r="L257" s="86">
        <f t="shared" si="163"/>
        <v>-2418.8451339270159</v>
      </c>
      <c r="M257" s="86" t="str">
        <f t="shared" si="164"/>
        <v>13.4059356011128j</v>
      </c>
      <c r="N257" s="86" t="str">
        <f t="shared" si="165"/>
        <v>-2418.84513392702+13.4059356011128j</v>
      </c>
      <c r="O257" s="86" t="str">
        <f t="shared" si="166"/>
        <v>0.0000343365975768754-0.0807892074220119j</v>
      </c>
      <c r="P257" s="86" t="str">
        <f t="shared" si="167"/>
        <v>0.000287421444589689-0.676262423861385j</v>
      </c>
      <c r="R257" s="86">
        <f t="shared" si="168"/>
        <v>11.958146487294469</v>
      </c>
      <c r="S257" s="86" t="str">
        <f t="shared" si="169"/>
        <v>1+0.341382403525179j</v>
      </c>
      <c r="T257" s="86" t="str">
        <f t="shared" si="170"/>
        <v>-2418.84513392702+13.4059356011128j</v>
      </c>
      <c r="U257" s="86" t="str">
        <f t="shared" si="171"/>
        <v>-0.000412625549530242-0.000143421350215314j</v>
      </c>
      <c r="V257" s="86" t="str">
        <f t="shared" si="172"/>
        <v>-0.00493423676568301-0.00171505351528029j</v>
      </c>
      <c r="X257" s="86" t="str">
        <f t="shared" si="173"/>
        <v>-0.111826138309038+0.152814861972165j</v>
      </c>
      <c r="Y257" s="86">
        <f t="shared" si="174"/>
        <v>-14.454203895860749</v>
      </c>
      <c r="Z257" s="86">
        <f t="shared" si="175"/>
        <v>-53.804256653746677</v>
      </c>
      <c r="AB257" s="86" t="str">
        <f t="shared" si="176"/>
        <v>-0.00229472497549447-0.000797605855315802j</v>
      </c>
      <c r="AC257" s="86">
        <f t="shared" si="177"/>
        <v>-52.290053708028601</v>
      </c>
      <c r="AD257" s="86">
        <f t="shared" si="178"/>
        <v>19.166548193119468</v>
      </c>
      <c r="AF257" s="86" t="str">
        <f t="shared" si="179"/>
        <v>-0.00265942744100766-0.00044046085441923j</v>
      </c>
      <c r="AG257" s="86">
        <f t="shared" si="180"/>
        <v>-51.386711314494022</v>
      </c>
      <c r="AH257" s="86">
        <f t="shared" si="181"/>
        <v>9.4040994548382741</v>
      </c>
      <c r="AJ257" s="86" t="str">
        <f t="shared" si="182"/>
        <v>207.680348145039-4665.11580008722j</v>
      </c>
      <c r="AK257" s="86" t="str">
        <f t="shared" si="183"/>
        <v>19999.9999999998-0.00182070615213427j</v>
      </c>
      <c r="AL257" s="86" t="str">
        <f t="shared" ref="AL257:AL264" si="197">IMDIV(IMSUM(1,IMPRODUCT(C257,10000,0.000000000045)),IMPRODUCT(C257,0.000000000045))</f>
        <v>10000-4882.11064617378j</v>
      </c>
      <c r="AM257" s="86" t="str">
        <f t="shared" ref="AM257:AM264" si="198">IMDIV(AL257,IMSUM(1,IMPRODUCT(C257,AL257,0.0000000001)))</f>
        <v>321.530132298201-1969.33666689418j</v>
      </c>
      <c r="AN257" s="86" t="str">
        <f t="shared" ref="AN257:AN264" si="199">IMSUM(10000,AM257)</f>
        <v>10321.5301322982-1969.33666689418j</v>
      </c>
      <c r="AO257" s="86" t="str">
        <f t="shared" ref="AO257:AO264" si="200">IMDIV(IMPRODUCT(AN257,AK257),IMSUM(AN257,AK257))</f>
        <v>6863.46742192642-853.197759647667j</v>
      </c>
      <c r="AP257" s="86" t="str">
        <f t="shared" ref="AP257:AP264" si="201">IMDIV(AK257,IMSUM(AJ257,AK257))</f>
        <v>0.939643740770393+0.216924786819109j</v>
      </c>
      <c r="AQ257" s="86" t="str">
        <f t="shared" si="184"/>
        <v>1+139.284020638273j</v>
      </c>
      <c r="AR257" s="86">
        <f t="shared" si="185"/>
        <v>-6.2398818317525769E-6</v>
      </c>
      <c r="AS257" s="86" t="str">
        <f t="shared" si="186"/>
        <v>0.0054760923761205j</v>
      </c>
      <c r="AT257" s="86" t="str">
        <f t="shared" si="187"/>
        <v>-6.23988183175258E-06+0.0054760923761205j</v>
      </c>
      <c r="AU257" s="86" t="str">
        <f t="shared" si="188"/>
        <v>3.81520317999291-0.0317391316781281j</v>
      </c>
      <c r="AW257" s="86" t="str">
        <f t="shared" ref="AW257:AW264" si="202">IMDIV(IMPRODUCT(AP257,AU257),IMPRODUCT(IMSUM(1,IMPRODUCT(C257,1/1500000)),IMSUM(1,IMPRODUCT(C257,1/35000000))))</f>
        <v>0.452657513927928-1.0484222254599j</v>
      </c>
      <c r="AX257" s="86">
        <f t="shared" si="189"/>
        <v>1.153068945452596</v>
      </c>
      <c r="AY257" s="86">
        <f t="shared" si="190"/>
        <v>113.35232831206812</v>
      </c>
      <c r="AZ257" s="86" t="str">
        <f t="shared" si="191"/>
        <v>-0.00187495220842569+0.00204479838206472j</v>
      </c>
      <c r="BA257" s="86">
        <f t="shared" si="192"/>
        <v>-51.136984762575999</v>
      </c>
      <c r="BB257" s="86">
        <f t="shared" si="193"/>
        <v>-47.481123494812465</v>
      </c>
      <c r="BD257" s="86" t="str">
        <f t="shared" si="194"/>
        <v>-0.00166559876313641+0.0025888249208064j</v>
      </c>
      <c r="BE257" s="86">
        <f t="shared" si="195"/>
        <v>-50.233642369041426</v>
      </c>
      <c r="BF257" s="86">
        <f t="shared" si="196"/>
        <v>-57.24357223309373</v>
      </c>
      <c r="BH257" s="86">
        <f t="shared" ref="BH257:BH264" si="203">1-BE257</f>
        <v>51.233642369041426</v>
      </c>
      <c r="BI257" s="162">
        <f t="shared" ref="BI257:BI264" si="204">+-1*BF257</f>
        <v>57.24357223309373</v>
      </c>
      <c r="BJ257" s="88"/>
      <c r="BK257" s="88"/>
      <c r="BL257" s="88"/>
      <c r="BM257" s="88"/>
      <c r="BN257" s="42"/>
      <c r="BO257" s="42"/>
      <c r="BP257" s="42"/>
    </row>
    <row r="258" spans="1:68" s="86" customFormat="1">
      <c r="A258" s="86">
        <v>194</v>
      </c>
      <c r="B258" s="86">
        <f t="shared" si="154"/>
        <v>758577.57502918388</v>
      </c>
      <c r="C258" s="86" t="str">
        <f t="shared" si="155"/>
        <v>4766283.47377929j</v>
      </c>
      <c r="D258" s="86">
        <f t="shared" si="156"/>
        <v>-6.0845175418548241</v>
      </c>
      <c r="E258" s="86" t="str">
        <f t="shared" si="157"/>
        <v>-4.18095041559587j</v>
      </c>
      <c r="F258" s="86" t="str">
        <f t="shared" si="158"/>
        <v>-6.08451754185482-4.18095041559587j</v>
      </c>
      <c r="G258" s="86">
        <f t="shared" si="159"/>
        <v>17.36410049621211</v>
      </c>
      <c r="H258" s="86">
        <f t="shared" si="160"/>
        <v>-145.50526159668689</v>
      </c>
      <c r="J258" s="86">
        <f t="shared" si="161"/>
        <v>8.3707025411061284</v>
      </c>
      <c r="K258" s="86" t="str">
        <f t="shared" si="162"/>
        <v>1+204.626762993932j</v>
      </c>
      <c r="L258" s="86">
        <f t="shared" si="163"/>
        <v>-2652.3074273941556</v>
      </c>
      <c r="M258" s="86" t="str">
        <f t="shared" si="164"/>
        <v>14.0377378812571j</v>
      </c>
      <c r="N258" s="86" t="str">
        <f t="shared" si="165"/>
        <v>-2652.30742739416+14.0377378812571j</v>
      </c>
      <c r="O258" s="86" t="str">
        <f t="shared" si="166"/>
        <v>0.000031299441545141-0.0771503037344419j</v>
      </c>
      <c r="P258" s="86" t="str">
        <f t="shared" si="167"/>
        <v>0.000261998314877115-0.645802243517002j</v>
      </c>
      <c r="R258" s="86">
        <f t="shared" si="168"/>
        <v>11.958146487294469</v>
      </c>
      <c r="S258" s="86" t="str">
        <f t="shared" si="169"/>
        <v>1+0.357471260533447j</v>
      </c>
      <c r="T258" s="86" t="str">
        <f t="shared" si="170"/>
        <v>-2652.30742739416+14.0377378812571j</v>
      </c>
      <c r="U258" s="86" t="str">
        <f t="shared" si="171"/>
        <v>-0.000376306328839841-0.000136769118992046j</v>
      </c>
      <c r="V258" s="86" t="str">
        <f t="shared" si="172"/>
        <v>-0.00449992620436282-0.00163550515984509j</v>
      </c>
      <c r="X258" s="86" t="str">
        <f t="shared" si="173"/>
        <v>-0.111823109489816+0.162594284583461j</v>
      </c>
      <c r="Y258" s="86">
        <f t="shared" si="174"/>
        <v>-14.095894517198357</v>
      </c>
      <c r="Z258" s="86">
        <f t="shared" si="175"/>
        <v>-55.482017024514619</v>
      </c>
      <c r="AB258" s="86" t="str">
        <f t="shared" si="176"/>
        <v>-0.00209274372905047-0.000760610954859014j</v>
      </c>
      <c r="AC258" s="86">
        <f t="shared" si="177"/>
        <v>-53.046842504298574</v>
      </c>
      <c r="AD258" s="86">
        <f t="shared" si="178"/>
        <v>19.973753669131753</v>
      </c>
      <c r="AF258" s="86" t="str">
        <f t="shared" si="179"/>
        <v>-0.00243150932189506-0.000411248525051871j</v>
      </c>
      <c r="AG258" s="86">
        <f t="shared" si="180"/>
        <v>-52.159990773991531</v>
      </c>
      <c r="AH258" s="86">
        <f t="shared" si="181"/>
        <v>9.5997596153318057</v>
      </c>
      <c r="AJ258" s="86" t="str">
        <f t="shared" si="182"/>
        <v>189.439697667164-4455.92648682628j</v>
      </c>
      <c r="AK258" s="86" t="str">
        <f t="shared" si="183"/>
        <v>19999.9999999998-0.0019065133895117j</v>
      </c>
      <c r="AL258" s="86" t="str">
        <f t="shared" si="197"/>
        <v>10000-4662.37947123228j</v>
      </c>
      <c r="AM258" s="86" t="str">
        <f t="shared" si="198"/>
        <v>302.113213635439-1893.82862749445j</v>
      </c>
      <c r="AN258" s="86" t="str">
        <f t="shared" si="199"/>
        <v>10302.1132136354-1893.82862749445j</v>
      </c>
      <c r="AO258" s="86" t="str">
        <f t="shared" si="200"/>
        <v>6850.96098447074-821.791962684405j</v>
      </c>
      <c r="AP258" s="86" t="str">
        <f t="shared" si="201"/>
        <v>0.944604209264093+0.208479624647584j</v>
      </c>
      <c r="AQ258" s="86" t="str">
        <f t="shared" si="184"/>
        <v>1+145.848274297646j</v>
      </c>
      <c r="AR258" s="86">
        <f t="shared" si="185"/>
        <v>-6.8515421946410099E-6</v>
      </c>
      <c r="AS258" s="86" t="str">
        <f t="shared" si="186"/>
        <v>0.00573417265879965j</v>
      </c>
      <c r="AT258" s="86" t="str">
        <f t="shared" si="187"/>
        <v>-6.85154219464101E-06+0.00573417265879965j</v>
      </c>
      <c r="AU258" s="86" t="str">
        <f t="shared" si="188"/>
        <v>3.81520264272861-0.0307175999692749j</v>
      </c>
      <c r="AW258" s="86" t="str">
        <f t="shared" si="202"/>
        <v>0.405894324039869-1.02000791067112j</v>
      </c>
      <c r="AX258" s="86">
        <f t="shared" si="189"/>
        <v>0.81046993475492735</v>
      </c>
      <c r="AY258" s="86">
        <f t="shared" si="190"/>
        <v>111.69921815693159</v>
      </c>
      <c r="AZ258" s="86" t="str">
        <f t="shared" si="191"/>
        <v>-0.00162526199219092+0.00182588748925904j</v>
      </c>
      <c r="BA258" s="86">
        <f t="shared" si="192"/>
        <v>-52.236372569543654</v>
      </c>
      <c r="BB258" s="86">
        <f t="shared" si="193"/>
        <v>-48.327028173936725</v>
      </c>
      <c r="BD258" s="86" t="str">
        <f t="shared" si="194"/>
        <v>-0.00140641258141197+0.00231323530111521j</v>
      </c>
      <c r="BE258" s="86">
        <f t="shared" si="195"/>
        <v>-51.349520839236611</v>
      </c>
      <c r="BF258" s="86">
        <f t="shared" si="196"/>
        <v>-58.701022227736686</v>
      </c>
      <c r="BH258" s="86">
        <f t="shared" si="203"/>
        <v>52.349520839236611</v>
      </c>
      <c r="BI258" s="162">
        <f t="shared" si="204"/>
        <v>58.701022227736686</v>
      </c>
      <c r="BJ258" s="88"/>
      <c r="BK258" s="88"/>
      <c r="BL258" s="88"/>
      <c r="BM258" s="88"/>
      <c r="BN258" s="42"/>
      <c r="BO258" s="42"/>
      <c r="BP258" s="42"/>
    </row>
    <row r="259" spans="1:68" s="86" customFormat="1">
      <c r="A259" s="86">
        <v>195</v>
      </c>
      <c r="B259" s="86">
        <f t="shared" si="154"/>
        <v>794328.23472428159</v>
      </c>
      <c r="C259" s="86" t="str">
        <f t="shared" si="155"/>
        <v>4990911.4934975j</v>
      </c>
      <c r="D259" s="86">
        <f t="shared" si="156"/>
        <v>-6.7680190148376882</v>
      </c>
      <c r="E259" s="86" t="str">
        <f t="shared" si="157"/>
        <v>-4.3779925381557j</v>
      </c>
      <c r="F259" s="86" t="str">
        <f t="shared" si="158"/>
        <v>-6.76801901483769-4.3779925381557j</v>
      </c>
      <c r="G259" s="86">
        <f t="shared" si="159"/>
        <v>18.127322518249652</v>
      </c>
      <c r="H259" s="86">
        <f t="shared" si="160"/>
        <v>-147.10259805552408</v>
      </c>
      <c r="J259" s="86">
        <f t="shared" si="161"/>
        <v>8.3707025411061284</v>
      </c>
      <c r="K259" s="86" t="str">
        <f t="shared" si="162"/>
        <v>1+214.270525226191j</v>
      </c>
      <c r="L259" s="86">
        <f t="shared" si="163"/>
        <v>-2908.293741802443</v>
      </c>
      <c r="M259" s="86" t="str">
        <f t="shared" si="164"/>
        <v>14.6993160855199j</v>
      </c>
      <c r="N259" s="86" t="str">
        <f t="shared" si="165"/>
        <v>-2908.29374180244+14.6993160855199j</v>
      </c>
      <c r="O259" s="86" t="str">
        <f t="shared" si="166"/>
        <v>0.0000285322002694196-0.0736755379082049j</v>
      </c>
      <c r="P259" s="86" t="str">
        <f t="shared" si="167"/>
        <v>0.00023883456129858-0.616716012385572j</v>
      </c>
      <c r="R259" s="86">
        <f t="shared" si="168"/>
        <v>11.958146487294469</v>
      </c>
      <c r="S259" s="86" t="str">
        <f t="shared" si="169"/>
        <v>1+0.374318362012312j</v>
      </c>
      <c r="T259" s="86" t="str">
        <f t="shared" si="170"/>
        <v>-2908.29374180244+14.6993160855199j</v>
      </c>
      <c r="U259" s="86" t="str">
        <f t="shared" si="171"/>
        <v>-0.000343184933844795-0.000130441757095544j</v>
      </c>
      <c r="V259" s="86" t="str">
        <f t="shared" si="172"/>
        <v>-0.00410385571114852-0.0015598416394086j</v>
      </c>
      <c r="X259" s="86" t="str">
        <f t="shared" si="173"/>
        <v>-0.111820346486475+0.172718417462032j</v>
      </c>
      <c r="Y259" s="86">
        <f t="shared" si="174"/>
        <v>-13.732959055587921</v>
      </c>
      <c r="Z259" s="86">
        <f t="shared" si="175"/>
        <v>-57.080409217541387</v>
      </c>
      <c r="AB259" s="86" t="str">
        <f t="shared" si="176"/>
        <v>-0.00190854647707498-0.00072542274271504j</v>
      </c>
      <c r="AC259" s="86">
        <f t="shared" si="177"/>
        <v>-53.799902096811778</v>
      </c>
      <c r="AD259" s="86">
        <f t="shared" si="178"/>
        <v>20.811383721297403</v>
      </c>
      <c r="AF259" s="86" t="str">
        <f t="shared" si="179"/>
        <v>-0.0022235711415596-0.000384349104013137j</v>
      </c>
      <c r="AG259" s="86">
        <f t="shared" si="180"/>
        <v>-52.931122143844277</v>
      </c>
      <c r="AH259" s="86">
        <f t="shared" si="181"/>
        <v>9.8067974715397952</v>
      </c>
      <c r="AJ259" s="86" t="str">
        <f t="shared" si="182"/>
        <v>172.798489255887-4256.05240263545j</v>
      </c>
      <c r="AK259" s="86" t="str">
        <f t="shared" si="183"/>
        <v>19999.9999999998-0.00199636459739898j</v>
      </c>
      <c r="AL259" s="86" t="str">
        <f t="shared" si="197"/>
        <v>9999.99999999996-4452.53782824536j</v>
      </c>
      <c r="AM259" s="86" t="str">
        <f t="shared" si="198"/>
        <v>283.351028156291-1820.70550283739j</v>
      </c>
      <c r="AN259" s="86" t="str">
        <f t="shared" si="199"/>
        <v>10283.3510281563-1820.70550283739j</v>
      </c>
      <c r="AO259" s="86" t="str">
        <f t="shared" si="200"/>
        <v>6838.99508963293-791.270454748751j</v>
      </c>
      <c r="AP259" s="86" t="str">
        <f t="shared" si="201"/>
        <v>0.949183566584585+0.200258526342189j</v>
      </c>
      <c r="AQ259" s="86" t="str">
        <f t="shared" si="184"/>
        <v>1+152.721891701024j</v>
      </c>
      <c r="AR259" s="86">
        <f t="shared" si="185"/>
        <v>-7.5222144459931719E-6</v>
      </c>
      <c r="AS259" s="86" t="str">
        <f t="shared" si="186"/>
        <v>0.00600441589048204j</v>
      </c>
      <c r="AT259" s="86" t="str">
        <f t="shared" si="187"/>
        <v>-7.52221444599317E-06+0.00600441589048204j</v>
      </c>
      <c r="AU259" s="86" t="str">
        <f t="shared" si="188"/>
        <v>3.81520206172848-0.0297612242926714j</v>
      </c>
      <c r="AW259" s="86" t="str">
        <f t="shared" si="202"/>
        <v>0.36207072452416-0.99052786853439j</v>
      </c>
      <c r="AX259" s="86">
        <f t="shared" si="189"/>
        <v>0.46198770548453238</v>
      </c>
      <c r="AY259" s="86">
        <f t="shared" si="190"/>
        <v>110.07903112412376</v>
      </c>
      <c r="AZ259" s="86" t="str">
        <f t="shared" si="191"/>
        <v>-0.00140958024887047+0.00162781413589476j</v>
      </c>
      <c r="BA259" s="86">
        <f t="shared" si="192"/>
        <v>-53.337914391327253</v>
      </c>
      <c r="BB259" s="86">
        <f t="shared" si="193"/>
        <v>-49.109585154578838</v>
      </c>
      <c r="BD259" s="86" t="str">
        <f t="shared" si="194"/>
        <v>-0.00118579851302673+0.00206334762482336j</v>
      </c>
      <c r="BE259" s="86">
        <f t="shared" si="195"/>
        <v>-52.469134438359752</v>
      </c>
      <c r="BF259" s="86">
        <f t="shared" si="196"/>
        <v>-60.114171404336489</v>
      </c>
      <c r="BH259" s="86">
        <f t="shared" si="203"/>
        <v>53.469134438359752</v>
      </c>
      <c r="BI259" s="162">
        <f t="shared" si="204"/>
        <v>60.114171404336489</v>
      </c>
      <c r="BJ259" s="88"/>
      <c r="BK259" s="88"/>
      <c r="BL259" s="88"/>
      <c r="BM259" s="88"/>
      <c r="BN259" s="42"/>
      <c r="BO259" s="42"/>
      <c r="BP259" s="42"/>
    </row>
    <row r="260" spans="1:68" s="86" customFormat="1">
      <c r="A260" s="86">
        <v>196</v>
      </c>
      <c r="B260" s="86">
        <f t="shared" si="154"/>
        <v>831763.77110267093</v>
      </c>
      <c r="C260" s="86" t="str">
        <f t="shared" si="155"/>
        <v>5226125.90563659j</v>
      </c>
      <c r="D260" s="86">
        <f t="shared" si="156"/>
        <v>-7.5174634769952355</v>
      </c>
      <c r="E260" s="86" t="str">
        <f t="shared" si="157"/>
        <v>-4.58432096985666j</v>
      </c>
      <c r="F260" s="86" t="str">
        <f t="shared" si="158"/>
        <v>-7.51746347699524-4.58432096985666j</v>
      </c>
      <c r="G260" s="86">
        <f t="shared" si="159"/>
        <v>18.894600139569718</v>
      </c>
      <c r="H260" s="86">
        <f t="shared" si="160"/>
        <v>-148.62420708818149</v>
      </c>
      <c r="J260" s="86">
        <f t="shared" si="161"/>
        <v>8.3707025411061284</v>
      </c>
      <c r="K260" s="86" t="str">
        <f t="shared" si="162"/>
        <v>1+224.368783970205j</v>
      </c>
      <c r="L260" s="86">
        <f t="shared" si="163"/>
        <v>-3188.9771540622173</v>
      </c>
      <c r="M260" s="86" t="str">
        <f t="shared" si="164"/>
        <v>15.3920735099717j</v>
      </c>
      <c r="N260" s="86" t="str">
        <f t="shared" si="165"/>
        <v>-3188.97715406222+15.3920735099717j</v>
      </c>
      <c r="O260" s="86" t="str">
        <f t="shared" si="166"/>
        <v>0.0000260106732372679-0.0703574760095734j</v>
      </c>
      <c r="P260" s="86" t="str">
        <f t="shared" si="167"/>
        <v>0.00021772760856308-0.58894150321915j</v>
      </c>
      <c r="R260" s="86">
        <f t="shared" si="168"/>
        <v>11.958146487294469</v>
      </c>
      <c r="S260" s="86" t="str">
        <f t="shared" si="169"/>
        <v>1+0.391959442922744j</v>
      </c>
      <c r="T260" s="86" t="str">
        <f t="shared" si="170"/>
        <v>-3188.97715406222+15.3920735099717j</v>
      </c>
      <c r="U260" s="86" t="str">
        <f t="shared" si="171"/>
        <v>-0.000312979632398803-0.000124421351820073j</v>
      </c>
      <c r="V260" s="86" t="str">
        <f t="shared" si="172"/>
        <v>-0.00374265629176446-0.00148784875121164j</v>
      </c>
      <c r="X260" s="86" t="str">
        <f t="shared" si="173"/>
        <v>-0.111817826025865+0.183208757718915j</v>
      </c>
      <c r="Y260" s="86">
        <f t="shared" si="174"/>
        <v>-13.365942773382196</v>
      </c>
      <c r="Z260" s="86">
        <f t="shared" si="175"/>
        <v>-58.603025234945491</v>
      </c>
      <c r="AB260" s="86" t="str">
        <f t="shared" si="176"/>
        <v>-0.00174056642906446-0.000691941601365578j</v>
      </c>
      <c r="AC260" s="86">
        <f t="shared" si="177"/>
        <v>-54.548965085104456</v>
      </c>
      <c r="AD260" s="86">
        <f t="shared" si="178"/>
        <v>21.679709639792151</v>
      </c>
      <c r="AF260" s="86" t="str">
        <f t="shared" si="179"/>
        <v>-0.00203385538906073-0.000359522507333209j</v>
      </c>
      <c r="AG260" s="86">
        <f t="shared" si="180"/>
        <v>-53.699970486943357</v>
      </c>
      <c r="AH260" s="86">
        <f t="shared" si="181"/>
        <v>10.024558239974596</v>
      </c>
      <c r="AJ260" s="86" t="str">
        <f t="shared" si="182"/>
        <v>157.616918747013-4065.08713010694j</v>
      </c>
      <c r="AK260" s="86" t="str">
        <f t="shared" si="183"/>
        <v>19999.9999999998-0.00209045036225462j</v>
      </c>
      <c r="AL260" s="86" t="str">
        <f t="shared" si="197"/>
        <v>10000-4252.1406149543j</v>
      </c>
      <c r="AM260" s="86" t="str">
        <f t="shared" si="198"/>
        <v>265.286413074869-1749.89818264292j</v>
      </c>
      <c r="AN260" s="86" t="str">
        <f t="shared" si="199"/>
        <v>10265.2864130749-1749.89818264292j</v>
      </c>
      <c r="AO260" s="86" t="str">
        <f t="shared" si="200"/>
        <v>6827.57358479187-761.612228502823j</v>
      </c>
      <c r="AP260" s="86" t="str">
        <f t="shared" si="201"/>
        <v>0.953406846257847+0.192268848976563j</v>
      </c>
      <c r="AQ260" s="86" t="str">
        <f t="shared" si="184"/>
        <v>1+159.91945271248j</v>
      </c>
      <c r="AR260" s="86">
        <f t="shared" si="185"/>
        <v>-8.2575919463591637E-6</v>
      </c>
      <c r="AS260" s="86" t="str">
        <f t="shared" si="186"/>
        <v>0.00628739529329421j</v>
      </c>
      <c r="AT260" s="86" t="str">
        <f t="shared" si="187"/>
        <v>-8.25759194635916E-06+0.00628739529329421j</v>
      </c>
      <c r="AU260" s="86" t="str">
        <f t="shared" si="188"/>
        <v>3.81520143206035-0.0288679760301856j</v>
      </c>
      <c r="AW260" s="86" t="str">
        <f t="shared" si="202"/>
        <v>0.321106663305951-0.960239011633278j</v>
      </c>
      <c r="AX260" s="86">
        <f t="shared" si="189"/>
        <v>0.10795231560011806</v>
      </c>
      <c r="AY260" s="86">
        <f t="shared" si="190"/>
        <v>108.49008208903287</v>
      </c>
      <c r="AZ260" s="86" t="str">
        <f t="shared" si="191"/>
        <v>-0.00122333679770247+0.00144917272870984j</v>
      </c>
      <c r="BA260" s="86">
        <f t="shared" si="192"/>
        <v>-54.441012769504368</v>
      </c>
      <c r="BB260" s="86">
        <f t="shared" si="193"/>
        <v>-49.830208271174996</v>
      </c>
      <c r="BD260" s="86" t="str">
        <f t="shared" si="194"/>
        <v>-0.000998312054729673+0.00183754221588353j</v>
      </c>
      <c r="BE260" s="86">
        <f t="shared" si="195"/>
        <v>-53.592018171343263</v>
      </c>
      <c r="BF260" s="86">
        <f t="shared" si="196"/>
        <v>-61.485359670992551</v>
      </c>
      <c r="BH260" s="86">
        <f t="shared" si="203"/>
        <v>54.592018171343263</v>
      </c>
      <c r="BI260" s="162">
        <f t="shared" si="204"/>
        <v>61.485359670992551</v>
      </c>
      <c r="BJ260" s="88"/>
      <c r="BK260" s="88"/>
      <c r="BL260" s="88"/>
      <c r="BM260" s="88"/>
      <c r="BN260" s="42"/>
      <c r="BO260" s="42"/>
      <c r="BP260" s="42"/>
    </row>
    <row r="261" spans="1:68" s="86" customFormat="1">
      <c r="A261" s="86">
        <v>197</v>
      </c>
      <c r="B261" s="86">
        <f t="shared" si="154"/>
        <v>870963.58995608194</v>
      </c>
      <c r="C261" s="86" t="str">
        <f t="shared" si="155"/>
        <v>5472425.63150044j</v>
      </c>
      <c r="D261" s="86">
        <f t="shared" si="156"/>
        <v>-8.339212988971207</v>
      </c>
      <c r="E261" s="86" t="str">
        <f t="shared" si="157"/>
        <v>-4.8003733609653j</v>
      </c>
      <c r="F261" s="86" t="str">
        <f t="shared" si="158"/>
        <v>-8.33921298897121-4.8003733609653j</v>
      </c>
      <c r="G261" s="86">
        <f t="shared" si="159"/>
        <v>19.665455922058218</v>
      </c>
      <c r="H261" s="86">
        <f t="shared" si="160"/>
        <v>-150.07360565123673</v>
      </c>
      <c r="J261" s="86">
        <f t="shared" si="161"/>
        <v>8.3707025411061284</v>
      </c>
      <c r="K261" s="86" t="str">
        <f t="shared" si="162"/>
        <v>1+234.942958986667j</v>
      </c>
      <c r="L261" s="86">
        <f t="shared" si="163"/>
        <v>-3496.7403956241151</v>
      </c>
      <c r="M261" s="86" t="str">
        <f t="shared" si="164"/>
        <v>16.1174795859894j</v>
      </c>
      <c r="N261" s="86" t="str">
        <f t="shared" si="165"/>
        <v>-3496.74039562412+16.1174795859894j</v>
      </c>
      <c r="O261" s="86" t="str">
        <f t="shared" si="166"/>
        <v>0.0000237128652829523-0.0671890246954152j</v>
      </c>
      <c r="P261" s="86" t="str">
        <f t="shared" si="167"/>
        <v>0.000198493341680916-0.562419339752354j</v>
      </c>
      <c r="R261" s="86">
        <f t="shared" si="168"/>
        <v>11.958146487294469</v>
      </c>
      <c r="S261" s="86" t="str">
        <f t="shared" si="169"/>
        <v>1+0.410431922362533j</v>
      </c>
      <c r="T261" s="86" t="str">
        <f t="shared" si="170"/>
        <v>-3496.74039562412+16.1174795859894j</v>
      </c>
      <c r="U261" s="86" t="str">
        <f t="shared" si="171"/>
        <v>-0.000285433542020003-0.00011869122230766j</v>
      </c>
      <c r="V261" s="86" t="str">
        <f t="shared" si="172"/>
        <v>-0.00341325610786252-0.00141932702311103j</v>
      </c>
      <c r="X261" s="86" t="str">
        <f t="shared" si="173"/>
        <v>-0.111815526863118+0.194087576337995j</v>
      </c>
      <c r="Y261" s="86">
        <f t="shared" si="174"/>
        <v>-12.995325329092264</v>
      </c>
      <c r="Z261" s="86">
        <f t="shared" si="175"/>
        <v>-60.0533843866681</v>
      </c>
      <c r="AB261" s="86" t="str">
        <f t="shared" si="176"/>
        <v>-0.00158737499038253-0.00066007476393895j</v>
      </c>
      <c r="AC261" s="86">
        <f t="shared" si="177"/>
        <v>-55.293752000810997</v>
      </c>
      <c r="AD261" s="86">
        <f t="shared" si="178"/>
        <v>22.578902728544023</v>
      </c>
      <c r="AF261" s="86" t="str">
        <f t="shared" si="179"/>
        <v>-0.00186075818297446-0.000336557018384486j</v>
      </c>
      <c r="AG261" s="86">
        <f t="shared" si="180"/>
        <v>-54.466399406298876</v>
      </c>
      <c r="AH261" s="86">
        <f t="shared" si="181"/>
        <v>10.252299612936952</v>
      </c>
      <c r="AJ261" s="86" t="str">
        <f t="shared" si="182"/>
        <v>143.767327398742-3882.64089666306j</v>
      </c>
      <c r="AK261" s="86" t="str">
        <f t="shared" si="183"/>
        <v>19999.9999999998-0.00218897025260015j</v>
      </c>
      <c r="AL261" s="86" t="str">
        <f t="shared" si="197"/>
        <v>10000-4060.76276200199j</v>
      </c>
      <c r="AM261" s="86" t="str">
        <f t="shared" si="198"/>
        <v>247.953402892145-1681.34565085036j</v>
      </c>
      <c r="AN261" s="86" t="str">
        <f t="shared" si="199"/>
        <v>10247.9534028921-1681.34565085036j</v>
      </c>
      <c r="AO261" s="86" t="str">
        <f t="shared" si="200"/>
        <v>6816.69774676238-732.799840141379j</v>
      </c>
      <c r="AP261" s="86" t="str">
        <f t="shared" si="201"/>
        <v>0.957298126892257+0.184515870536403j</v>
      </c>
      <c r="AQ261" s="86" t="str">
        <f t="shared" si="184"/>
        <v>1+167.456224323913j</v>
      </c>
      <c r="AR261" s="86">
        <f t="shared" si="185"/>
        <v>-9.0639173414447167E-6</v>
      </c>
      <c r="AS261" s="86" t="str">
        <f t="shared" si="186"/>
        <v>0.00658371110448923j</v>
      </c>
      <c r="AT261" s="86" t="str">
        <f t="shared" si="187"/>
        <v>-9.06391734144472E-06+0.00658371110448923j</v>
      </c>
      <c r="AU261" s="86" t="str">
        <f t="shared" si="188"/>
        <v>3.81520074837904-0.0280359604628559j</v>
      </c>
      <c r="AW261" s="86" t="str">
        <f t="shared" si="202"/>
        <v>0.282907124803339-0.929372981934624j</v>
      </c>
      <c r="AX261" s="86">
        <f t="shared" si="189"/>
        <v>-0.25133564595355978</v>
      </c>
      <c r="AY261" s="86">
        <f t="shared" si="190"/>
        <v>106.93058686342441</v>
      </c>
      <c r="AZ261" s="86" t="str">
        <f t="shared" si="191"/>
        <v>-0.00106253534617558+0.00128852357463904j</v>
      </c>
      <c r="BA261" s="86">
        <f t="shared" si="192"/>
        <v>-55.5450876467646</v>
      </c>
      <c r="BB261" s="86">
        <f t="shared" si="193"/>
        <v>-50.490510408031582</v>
      </c>
      <c r="BD261" s="86" t="str">
        <f t="shared" si="194"/>
        <v>-0.000839208747266604+0.00163412400276668j</v>
      </c>
      <c r="BE261" s="86">
        <f t="shared" si="195"/>
        <v>-54.717735052252472</v>
      </c>
      <c r="BF261" s="86">
        <f t="shared" si="196"/>
        <v>-62.817113523638554</v>
      </c>
      <c r="BH261" s="86">
        <f t="shared" si="203"/>
        <v>55.717735052252472</v>
      </c>
      <c r="BI261" s="162">
        <f t="shared" si="204"/>
        <v>62.817113523638554</v>
      </c>
      <c r="BJ261" s="88"/>
      <c r="BK261" s="88"/>
      <c r="BL261" s="88"/>
      <c r="BM261" s="88"/>
      <c r="BN261" s="42"/>
      <c r="BO261" s="42"/>
      <c r="BP261" s="42"/>
    </row>
    <row r="262" spans="1:68" s="86" customFormat="1">
      <c r="A262" s="86">
        <v>198</v>
      </c>
      <c r="B262" s="86">
        <f t="shared" si="154"/>
        <v>912010.8393559109</v>
      </c>
      <c r="C262" s="86" t="str">
        <f t="shared" si="155"/>
        <v>5730333.10582958j</v>
      </c>
      <c r="D262" s="86">
        <f t="shared" si="156"/>
        <v>-9.2402434115441441</v>
      </c>
      <c r="E262" s="86" t="str">
        <f t="shared" si="157"/>
        <v>-5.02660798756981j</v>
      </c>
      <c r="F262" s="86" t="str">
        <f t="shared" si="158"/>
        <v>-9.24024341154414-5.02660798756981j</v>
      </c>
      <c r="G262" s="86">
        <f t="shared" si="159"/>
        <v>20.439470465081481</v>
      </c>
      <c r="H262" s="86">
        <f t="shared" si="160"/>
        <v>-151.45421323552875</v>
      </c>
      <c r="J262" s="86">
        <f t="shared" si="161"/>
        <v>8.3707025411061284</v>
      </c>
      <c r="K262" s="86" t="str">
        <f t="shared" si="162"/>
        <v>1+246.015479518491j</v>
      </c>
      <c r="L262" s="86">
        <f t="shared" si="163"/>
        <v>-3834.196079571077</v>
      </c>
      <c r="M262" s="86" t="str">
        <f t="shared" si="164"/>
        <v>16.8770729971171j</v>
      </c>
      <c r="N262" s="86" t="str">
        <f t="shared" si="165"/>
        <v>-3834.19607957108+16.8770729971171j</v>
      </c>
      <c r="O262" s="86" t="str">
        <f t="shared" si="166"/>
        <v>0.0000216187797368859-0.0641634151074215j</v>
      </c>
      <c r="P262" s="86" t="str">
        <f t="shared" si="167"/>
        <v>0.000180964374479164-0.537092861885741j</v>
      </c>
      <c r="R262" s="86">
        <f t="shared" si="168"/>
        <v>11.958146487294469</v>
      </c>
      <c r="S262" s="86" t="str">
        <f t="shared" si="169"/>
        <v>1+0.429774982937218j</v>
      </c>
      <c r="T262" s="86" t="str">
        <f t="shared" si="170"/>
        <v>-3834.19607957108+16.8770729971171j</v>
      </c>
      <c r="U262" s="86" t="str">
        <f t="shared" si="171"/>
        <v>-0.000260312433238296-0.000113235808984398j</v>
      </c>
      <c r="V262" s="86" t="str">
        <f t="shared" si="172"/>
        <v>-0.00311285420912761-0.00135409039144273j</v>
      </c>
      <c r="X262" s="86" t="str">
        <f t="shared" si="173"/>
        <v>-0.111813429606464+0.205377965790829j</v>
      </c>
      <c r="Y262" s="86">
        <f t="shared" si="174"/>
        <v>-12.62152814817693</v>
      </c>
      <c r="Z262" s="86">
        <f t="shared" si="175"/>
        <v>-61.434908390420276</v>
      </c>
      <c r="AB262" s="86" t="str">
        <f t="shared" si="176"/>
        <v>-0.00144766954606595-0.000629735699334769j</v>
      </c>
      <c r="AC262" s="86">
        <f t="shared" si="177"/>
        <v>-56.033972141007922</v>
      </c>
      <c r="AD262" s="86">
        <f t="shared" si="178"/>
        <v>23.509021813315627</v>
      </c>
      <c r="AF262" s="86" t="str">
        <f t="shared" si="179"/>
        <v>-0.00170281587523061-0.000315265787726904j</v>
      </c>
      <c r="AG262" s="86">
        <f t="shared" si="180"/>
        <v>-55.230272383076425</v>
      </c>
      <c r="AH262" s="86">
        <f t="shared" si="181"/>
        <v>10.489183960320076</v>
      </c>
      <c r="AJ262" s="86" t="str">
        <f t="shared" si="182"/>
        <v>131.133159314482-3708.34003599303j</v>
      </c>
      <c r="AK262" s="86" t="str">
        <f t="shared" si="183"/>
        <v>19999.9999999997-0.00229213324233181j</v>
      </c>
      <c r="AL262" s="86" t="str">
        <f t="shared" si="197"/>
        <v>10000-3877.99833130383j</v>
      </c>
      <c r="AM262" s="86" t="str">
        <f t="shared" si="198"/>
        <v>231.377396182263-1614.99348142377j</v>
      </c>
      <c r="AN262" s="86" t="str">
        <f t="shared" si="199"/>
        <v>10231.3773961823-1614.99348142377j</v>
      </c>
      <c r="AO262" s="86" t="str">
        <f t="shared" si="200"/>
        <v>6806.36613969431-704.818713749984j</v>
      </c>
      <c r="AP262" s="86" t="str">
        <f t="shared" si="201"/>
        <v>0.960880446246357+0.177003018695067j</v>
      </c>
      <c r="AQ262" s="86" t="str">
        <f t="shared" si="184"/>
        <v>1+175.348193038385j</v>
      </c>
      <c r="AR262" s="86">
        <f t="shared" si="185"/>
        <v>-9.9480355561525474E-6</v>
      </c>
      <c r="AS262" s="86" t="str">
        <f t="shared" si="186"/>
        <v>0.00689399184963039j</v>
      </c>
      <c r="AT262" s="86" t="str">
        <f t="shared" si="187"/>
        <v>-9.94803555615255E-06+0.00689399184963039j</v>
      </c>
      <c r="AU262" s="86" t="str">
        <f t="shared" si="188"/>
        <v>3.81520000488084-0.0272634127515634j</v>
      </c>
      <c r="AW262" s="86" t="str">
        <f t="shared" si="202"/>
        <v>0.247365827865391-0.898136878361847j</v>
      </c>
      <c r="AX262" s="86">
        <f t="shared" si="189"/>
        <v>-0.6156048407781235</v>
      </c>
      <c r="AY262" s="86">
        <f t="shared" si="190"/>
        <v>105.39867861387978</v>
      </c>
      <c r="AZ262" s="86" t="str">
        <f t="shared" si="191"/>
        <v>-0.000923692830931661+0.00114443031440084j</v>
      </c>
      <c r="BA262" s="86">
        <f t="shared" si="192"/>
        <v>-56.649576981786097</v>
      </c>
      <c r="BB262" s="86">
        <f t="shared" si="193"/>
        <v>-51.09229957280445</v>
      </c>
      <c r="BD262" s="86" t="str">
        <f t="shared" si="194"/>
        <v>-0.000704370289122082+0.00145137575202591j</v>
      </c>
      <c r="BE262" s="86">
        <f t="shared" si="195"/>
        <v>-55.845877223854579</v>
      </c>
      <c r="BF262" s="86">
        <f t="shared" si="196"/>
        <v>-64.1121374258</v>
      </c>
      <c r="BH262" s="86">
        <f t="shared" si="203"/>
        <v>56.845877223854579</v>
      </c>
      <c r="BI262" s="162">
        <f t="shared" si="204"/>
        <v>64.1121374258</v>
      </c>
      <c r="BJ262" s="88"/>
      <c r="BK262" s="88"/>
      <c r="BL262" s="88"/>
      <c r="BM262" s="88"/>
      <c r="BN262" s="42"/>
      <c r="BO262" s="42"/>
      <c r="BP262" s="42"/>
    </row>
    <row r="263" spans="1:68" s="86" customFormat="1">
      <c r="A263" s="86">
        <v>199</v>
      </c>
      <c r="B263" s="86">
        <f t="shared" si="154"/>
        <v>954992.58602143696</v>
      </c>
      <c r="C263" s="86" t="str">
        <f t="shared" si="155"/>
        <v>6000395.38495533j</v>
      </c>
      <c r="D263" s="86">
        <f t="shared" si="156"/>
        <v>-10.228203623957047</v>
      </c>
      <c r="E263" s="86" t="str">
        <f t="shared" si="157"/>
        <v>-5.26350472364503j</v>
      </c>
      <c r="F263" s="86" t="str">
        <f t="shared" si="158"/>
        <v>-10.228203623957-5.26350472364503j</v>
      </c>
      <c r="G263" s="86">
        <f t="shared" si="159"/>
        <v>21.216275643873985</v>
      </c>
      <c r="H263" s="86">
        <f t="shared" si="160"/>
        <v>-152.76933447688668</v>
      </c>
      <c r="J263" s="86">
        <f t="shared" si="161"/>
        <v>8.3707025411061284</v>
      </c>
      <c r="K263" s="86" t="str">
        <f t="shared" si="162"/>
        <v>1+257.609831866243j</v>
      </c>
      <c r="L263" s="86">
        <f t="shared" si="163"/>
        <v>-4204.2088791835058</v>
      </c>
      <c r="M263" s="86" t="str">
        <f t="shared" si="164"/>
        <v>17.6724649428202j</v>
      </c>
      <c r="N263" s="86" t="str">
        <f t="shared" si="165"/>
        <v>-4204.20887918351+17.6724649428202j</v>
      </c>
      <c r="O263" s="86" t="str">
        <f t="shared" si="166"/>
        <v>0.0000197102319356053-0.0612741875917188j</v>
      </c>
      <c r="P263" s="86" t="str">
        <f t="shared" si="167"/>
        <v>0.000164988488549162-0.512907997778214j</v>
      </c>
      <c r="R263" s="86">
        <f t="shared" si="168"/>
        <v>11.958146487294469</v>
      </c>
      <c r="S263" s="86" t="str">
        <f t="shared" si="169"/>
        <v>1+0.45002965387165j</v>
      </c>
      <c r="T263" s="86" t="str">
        <f t="shared" si="170"/>
        <v>-4204.20887918351+17.6724649428202j</v>
      </c>
      <c r="U263" s="86" t="str">
        <f t="shared" si="171"/>
        <v>-0.000237402727934278-0.000108040575126375j</v>
      </c>
      <c r="V263" s="86" t="str">
        <f t="shared" si="172"/>
        <v>-0.00283889659712141-0.00129196502393274j</v>
      </c>
      <c r="X263" s="86" t="str">
        <f t="shared" si="173"/>
        <v>-0.111811516556914+0.217103889345423j</v>
      </c>
      <c r="Y263" s="86">
        <f t="shared" si="174"/>
        <v>-12.244921201897114</v>
      </c>
      <c r="Z263" s="86">
        <f t="shared" si="175"/>
        <v>-62.750903990762367</v>
      </c>
      <c r="AB263" s="86" t="str">
        <f t="shared" si="176"/>
        <v>-0.00132026232903297-0.000600843564804777j</v>
      </c>
      <c r="AC263" s="86">
        <f t="shared" si="177"/>
        <v>-56.769324663657827</v>
      </c>
      <c r="AD263" s="86">
        <f t="shared" si="178"/>
        <v>24.470000611179103</v>
      </c>
      <c r="AF263" s="86" t="str">
        <f t="shared" si="179"/>
        <v>-0.00155869281486564-0.000295483782209498j</v>
      </c>
      <c r="AG263" s="86">
        <f t="shared" si="180"/>
        <v>-55.991454352596826</v>
      </c>
      <c r="AH263" s="86">
        <f t="shared" si="181"/>
        <v>10.734271082105494</v>
      </c>
      <c r="AJ263" s="86" t="str">
        <f t="shared" si="182"/>
        <v>119.60800624288-3541.82644695432j</v>
      </c>
      <c r="AK263" s="86" t="str">
        <f t="shared" si="183"/>
        <v>19999.9999999997-0.00240015815398211j</v>
      </c>
      <c r="AL263" s="86" t="str">
        <f t="shared" si="197"/>
        <v>10000-3703.45965499866j</v>
      </c>
      <c r="AM263" s="86" t="str">
        <f t="shared" si="198"/>
        <v>215.575498682452-1550.79244626278j</v>
      </c>
      <c r="AN263" s="86" t="str">
        <f t="shared" si="199"/>
        <v>10215.5754986825-1550.79244626278j</v>
      </c>
      <c r="AO263" s="86" t="str">
        <f t="shared" si="200"/>
        <v>6796.57458257304-677.656482471276j</v>
      </c>
      <c r="AP263" s="86" t="str">
        <f t="shared" si="201"/>
        <v>0.964175742955041+0.16973208716922j</v>
      </c>
      <c r="AQ263" s="86" t="str">
        <f t="shared" si="184"/>
        <v>1+183.612098779633j</v>
      </c>
      <c r="AR263" s="86">
        <f t="shared" si="185"/>
        <v>-1.0917451901392719E-5</v>
      </c>
      <c r="AS263" s="86" t="str">
        <f t="shared" si="186"/>
        <v>0.00721889567577821j</v>
      </c>
      <c r="AT263" s="86" t="str">
        <f t="shared" si="187"/>
        <v>-0.0000109174519013927+0.00721889567577821j</v>
      </c>
      <c r="AU263" s="86" t="str">
        <f t="shared" si="188"/>
        <v>3.81519919525421-0.0265486941931405j</v>
      </c>
      <c r="AW263" s="86" t="str">
        <f t="shared" si="202"/>
        <v>0.214368475959817-0.866714315749426j</v>
      </c>
      <c r="AX263" s="86">
        <f t="shared" si="189"/>
        <v>-0.98461285107667207</v>
      </c>
      <c r="AY263" s="86">
        <f t="shared" si="190"/>
        <v>103.89242303174609</v>
      </c>
      <c r="AZ263" s="86" t="str">
        <f t="shared" si="191"/>
        <v>-0.000803782342484175+0.00101548834184009j</v>
      </c>
      <c r="BA263" s="86">
        <f t="shared" si="192"/>
        <v>-57.753937514734488</v>
      </c>
      <c r="BB263" s="86">
        <f t="shared" si="193"/>
        <v>-51.637576357074778</v>
      </c>
      <c r="BD263" s="86" t="str">
        <f t="shared" si="194"/>
        <v>-0.000590234627325023+0.00128759896843673j</v>
      </c>
      <c r="BE263" s="86">
        <f t="shared" si="195"/>
        <v>-56.97606720367348</v>
      </c>
      <c r="BF263" s="86">
        <f t="shared" si="196"/>
        <v>-65.373305886148401</v>
      </c>
      <c r="BH263" s="86">
        <f t="shared" si="203"/>
        <v>57.97606720367348</v>
      </c>
      <c r="BI263" s="162">
        <f t="shared" si="204"/>
        <v>65.373305886148401</v>
      </c>
      <c r="BJ263" s="88"/>
      <c r="BK263" s="88"/>
      <c r="BL263" s="88"/>
      <c r="BM263" s="88"/>
      <c r="BN263" s="42"/>
      <c r="BO263" s="42"/>
      <c r="BP263" s="42"/>
    </row>
    <row r="264" spans="1:68" s="86" customFormat="1">
      <c r="A264" s="86">
        <v>200</v>
      </c>
      <c r="B264" s="86">
        <f t="shared" si="154"/>
        <v>1000000</v>
      </c>
      <c r="C264" s="86" t="str">
        <f t="shared" si="155"/>
        <v>6283185.30717959j</v>
      </c>
      <c r="D264" s="86">
        <f t="shared" si="156"/>
        <v>-11.311480455524798</v>
      </c>
      <c r="E264" s="86" t="str">
        <f t="shared" si="157"/>
        <v>-5.51156605892947j</v>
      </c>
      <c r="F264" s="86" t="str">
        <f t="shared" si="158"/>
        <v>-11.3114804555248-5.51156605892947j</v>
      </c>
      <c r="G264" s="86">
        <f t="shared" si="159"/>
        <v>21.995548470473111</v>
      </c>
      <c r="H264" s="86">
        <f t="shared" si="160"/>
        <v>-154.0221477607395</v>
      </c>
      <c r="J264" s="86">
        <f t="shared" si="161"/>
        <v>8.3707025411061284</v>
      </c>
      <c r="K264" s="86" t="str">
        <f t="shared" si="162"/>
        <v>1+269.750609205735j</v>
      </c>
      <c r="L264" s="86">
        <f t="shared" si="163"/>
        <v>-4609.9198462524355</v>
      </c>
      <c r="M264" s="86" t="str">
        <f t="shared" si="164"/>
        <v>18.5053425560558j</v>
      </c>
      <c r="N264" s="86" t="str">
        <f t="shared" si="165"/>
        <v>-4609.91984625244+18.5053425560558j</v>
      </c>
      <c r="O264" s="86" t="str">
        <f t="shared" si="166"/>
        <v>0.0000179706809359641-0.058515177193681j</v>
      </c>
      <c r="P264" s="86" t="str">
        <f t="shared" si="167"/>
        <v>0.000150427224576082-0.489813142428421j</v>
      </c>
      <c r="R264" s="86">
        <f t="shared" si="168"/>
        <v>11.958146487294469</v>
      </c>
      <c r="S264" s="86" t="str">
        <f t="shared" si="169"/>
        <v>1+0.471238898038469j</v>
      </c>
      <c r="T264" s="86" t="str">
        <f t="shared" si="170"/>
        <v>-4609.91984625244+18.5053425560558j</v>
      </c>
      <c r="U264" s="86" t="str">
        <f t="shared" si="171"/>
        <v>-0.000216509675224416-0.000103091919077843j</v>
      </c>
      <c r="V264" s="86" t="str">
        <f t="shared" si="172"/>
        <v>-0.00258905441225012-0.00123278826998915j</v>
      </c>
      <c r="X264" s="86" t="str">
        <f t="shared" si="173"/>
        <v>-0.111809771561589+0.229290232179873j</v>
      </c>
      <c r="Y264" s="86">
        <f t="shared" si="174"/>
        <v>-11.865829162099867</v>
      </c>
      <c r="Z264" s="86">
        <f t="shared" si="175"/>
        <v>-64.004551571347079</v>
      </c>
      <c r="AB264" s="86" t="str">
        <f t="shared" si="176"/>
        <v>-0.00120407027567558-0.000573322717773787j</v>
      </c>
      <c r="AC264" s="86">
        <f t="shared" si="177"/>
        <v>-57.499499966610784</v>
      </c>
      <c r="AD264" s="86">
        <f t="shared" si="178"/>
        <v>25.461635198047986</v>
      </c>
      <c r="AF264" s="86" t="str">
        <f t="shared" si="179"/>
        <v>-0.00142717017378096-0.000277065125676987j</v>
      </c>
      <c r="AG264" s="86">
        <f t="shared" si="180"/>
        <v>-56.749813526705836</v>
      </c>
      <c r="AH264" s="86">
        <f t="shared" si="181"/>
        <v>10.986511787167217</v>
      </c>
      <c r="AJ264" s="86" t="str">
        <f t="shared" si="182"/>
        <v>109.094732792665-3382.75705342649j</v>
      </c>
      <c r="AK264" s="86" t="str">
        <f t="shared" si="183"/>
        <v>19999.9999999997-0.0025132741228718j</v>
      </c>
      <c r="AL264" s="86" t="str">
        <f t="shared" si="197"/>
        <v>10000-3536.77651315322j</v>
      </c>
      <c r="AM264" s="86" t="str">
        <f t="shared" si="198"/>
        <v>200.55701239055-1488.69725792815j</v>
      </c>
      <c r="AN264" s="86" t="str">
        <f t="shared" si="199"/>
        <v>10200.5570123906-1488.69725792815j</v>
      </c>
      <c r="AO264" s="86" t="str">
        <f t="shared" si="200"/>
        <v>6787.31621170058-651.302381471062j</v>
      </c>
      <c r="AP264" s="86" t="str">
        <f t="shared" si="201"/>
        <v>0.96720482182678+0.162703438130606j</v>
      </c>
      <c r="AQ264" s="86" t="str">
        <f t="shared" si="184"/>
        <v>1+192.265470399695j</v>
      </c>
      <c r="AR264" s="86">
        <f t="shared" si="185"/>
        <v>-1.1980395786933396E-5</v>
      </c>
      <c r="AS264" s="86" t="str">
        <f t="shared" si="186"/>
        <v>0.00755911174750855j</v>
      </c>
      <c r="AT264" s="86" t="str">
        <f t="shared" si="187"/>
        <v>-0.0000119803957869334+0.00755911174750855j</v>
      </c>
      <c r="AU264" s="86" t="str">
        <f t="shared" si="188"/>
        <v>3.81519831262627-0.0258902887439662j</v>
      </c>
      <c r="AW264" s="86" t="str">
        <f t="shared" si="202"/>
        <v>0.18379557154442-0.835266723579246j</v>
      </c>
      <c r="AX264" s="86">
        <f t="shared" si="189"/>
        <v>-1.3581457697629262</v>
      </c>
      <c r="AY264" s="86">
        <f t="shared" si="190"/>
        <v>102.40983233592856</v>
      </c>
      <c r="AZ264" s="86" t="str">
        <f t="shared" si="191"/>
        <v>-0.0007001801725259+0.000900345657530066j</v>
      </c>
      <c r="BA264" s="86">
        <f t="shared" si="192"/>
        <v>-58.857645736373712</v>
      </c>
      <c r="BB264" s="86">
        <f t="shared" si="193"/>
        <v>-52.128532466023401</v>
      </c>
      <c r="BD264" s="86" t="str">
        <f t="shared" si="194"/>
        <v>-0.00049373083752351+0.00114114441191522j</v>
      </c>
      <c r="BE264" s="86">
        <f t="shared" si="195"/>
        <v>-58.107959296468735</v>
      </c>
      <c r="BF264" s="86">
        <f t="shared" si="196"/>
        <v>-66.603655876904256</v>
      </c>
      <c r="BH264" s="86">
        <f t="shared" si="203"/>
        <v>59.107959296468735</v>
      </c>
      <c r="BI264" s="162">
        <f t="shared" si="204"/>
        <v>66.603655876904256</v>
      </c>
      <c r="BJ264" s="88"/>
      <c r="BK264" s="88"/>
      <c r="BL264" s="88"/>
      <c r="BM264" s="88"/>
      <c r="BN264" s="42"/>
      <c r="BO264" s="42"/>
      <c r="BP264" s="42"/>
    </row>
    <row r="265" spans="1:68" s="82" customFormat="1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N265" s="42"/>
      <c r="BO265" s="42"/>
      <c r="BP265" s="42"/>
    </row>
    <row r="266" spans="1:68" s="82" customFormat="1">
      <c r="BN266" s="42"/>
      <c r="BO266" s="42"/>
      <c r="BP266" s="42"/>
    </row>
    <row r="267" spans="1:68" s="82" customFormat="1">
      <c r="BN267" s="42"/>
      <c r="BO267" s="42"/>
      <c r="BP267" s="42"/>
    </row>
    <row r="268" spans="1:68" s="82" customFormat="1">
      <c r="BN268" s="42"/>
      <c r="BO268" s="42"/>
      <c r="BP268" s="42"/>
    </row>
    <row r="269" spans="1:68" s="82" customFormat="1">
      <c r="BN269" s="42"/>
      <c r="BO269" s="42"/>
      <c r="BP269" s="42"/>
    </row>
    <row r="270" spans="1:68" s="82" customFormat="1">
      <c r="BN270" s="42"/>
      <c r="BO270" s="42"/>
      <c r="BP270" s="42"/>
    </row>
    <row r="271" spans="1:68" s="82" customFormat="1">
      <c r="BN271" s="42"/>
      <c r="BO271" s="42"/>
      <c r="BP271" s="42"/>
    </row>
    <row r="272" spans="1:68" s="82" customFormat="1">
      <c r="BN272" s="42"/>
      <c r="BO272" s="42"/>
      <c r="BP272" s="42"/>
    </row>
    <row r="273" spans="1:68" s="82" customFormat="1">
      <c r="BN273" s="42"/>
      <c r="BO273" s="42"/>
      <c r="BP273" s="42"/>
    </row>
    <row r="274" spans="1:68" s="82" customFormat="1">
      <c r="BN274" s="42"/>
      <c r="BO274" s="42"/>
      <c r="BP274" s="42"/>
    </row>
    <row r="275" spans="1:68" s="41" customFormat="1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BN275" s="42"/>
      <c r="BO275" s="42"/>
      <c r="BP275" s="42"/>
    </row>
    <row r="276" spans="1:68" s="41" customFormat="1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BN276" s="42"/>
      <c r="BO276" s="42"/>
      <c r="BP276" s="42"/>
    </row>
    <row r="277" spans="1:68" s="41" customFormat="1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BN277" s="42"/>
      <c r="BO277" s="42"/>
      <c r="BP277" s="42"/>
    </row>
    <row r="278" spans="1:68" s="41" customFormat="1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BN278" s="42"/>
      <c r="BO278" s="42"/>
      <c r="BP278" s="42"/>
    </row>
    <row r="279" spans="1:68" s="41" customFormat="1">
      <c r="BN279" s="42"/>
      <c r="BO279" s="42"/>
      <c r="BP279" s="42"/>
    </row>
    <row r="280" spans="1:68">
      <c r="BN280" s="42"/>
      <c r="BO280" s="42"/>
      <c r="BP280" s="42"/>
    </row>
    <row r="281" spans="1:68">
      <c r="BN281" s="42"/>
      <c r="BO281" s="42"/>
      <c r="BP281" s="42"/>
    </row>
    <row r="282" spans="1:68">
      <c r="BN282" s="42"/>
      <c r="BO282" s="42"/>
      <c r="BP282" s="42"/>
    </row>
    <row r="283" spans="1:68">
      <c r="BN283" s="42"/>
      <c r="BO283" s="42"/>
      <c r="BP283" s="42"/>
    </row>
    <row r="284" spans="1:68">
      <c r="BN284" s="42"/>
      <c r="BO284" s="42"/>
      <c r="BP284" s="42"/>
    </row>
    <row r="285" spans="1:68">
      <c r="BN285" s="42"/>
      <c r="BO285" s="42"/>
      <c r="BP285" s="42"/>
    </row>
    <row r="286" spans="1:68">
      <c r="BN286" s="42"/>
      <c r="BO286" s="42"/>
      <c r="BP286" s="42"/>
    </row>
    <row r="287" spans="1:68">
      <c r="BN287" s="42"/>
      <c r="BO287" s="42"/>
      <c r="BP287" s="42"/>
    </row>
    <row r="288" spans="1:68">
      <c r="BN288" s="42"/>
      <c r="BO288" s="42"/>
      <c r="BP288" s="42"/>
    </row>
    <row r="289" spans="66:68">
      <c r="BN289" s="42"/>
      <c r="BO289" s="42"/>
      <c r="BP289" s="42"/>
    </row>
    <row r="290" spans="66:68">
      <c r="BN290" s="42"/>
      <c r="BO290" s="42"/>
      <c r="BP290" s="42"/>
    </row>
    <row r="291" spans="66:68">
      <c r="BN291" s="42"/>
      <c r="BO291" s="42"/>
      <c r="BP291" s="42"/>
    </row>
    <row r="292" spans="66:68">
      <c r="BN292" s="42"/>
      <c r="BO292" s="42"/>
      <c r="BP292" s="42"/>
    </row>
    <row r="293" spans="66:68">
      <c r="BN293" s="42"/>
      <c r="BO293" s="42"/>
      <c r="BP293" s="42"/>
    </row>
    <row r="294" spans="66:68">
      <c r="BN294" s="42"/>
      <c r="BO294" s="42"/>
      <c r="BP294" s="42"/>
    </row>
    <row r="295" spans="66:68">
      <c r="BN295" s="42"/>
      <c r="BO295" s="42"/>
      <c r="BP295" s="42"/>
    </row>
    <row r="296" spans="66:68">
      <c r="BN296" s="42"/>
      <c r="BO296" s="42"/>
      <c r="BP296" s="42"/>
    </row>
    <row r="297" spans="66:68">
      <c r="BN297" s="42"/>
      <c r="BO297" s="42"/>
      <c r="BP297" s="42"/>
    </row>
    <row r="298" spans="66:68">
      <c r="BN298" s="42"/>
      <c r="BO298" s="42"/>
      <c r="BP298" s="42"/>
    </row>
    <row r="299" spans="66:68">
      <c r="BN299" s="42"/>
      <c r="BO299" s="42"/>
      <c r="BP299" s="42"/>
    </row>
    <row r="300" spans="66:68">
      <c r="BN300" s="42"/>
      <c r="BO300" s="42"/>
      <c r="BP300" s="42"/>
    </row>
    <row r="301" spans="66:68">
      <c r="BN301" s="42"/>
      <c r="BO301" s="42"/>
      <c r="BP301" s="42"/>
    </row>
  </sheetData>
  <sheetProtection password="C6F9" sheet="1" objects="1" scenarios="1" selectLockedCells="1"/>
  <mergeCells count="18">
    <mergeCell ref="A32:B32"/>
    <mergeCell ref="A33:B33"/>
    <mergeCell ref="A34:B34"/>
    <mergeCell ref="AV62:AW62"/>
    <mergeCell ref="J20:L20"/>
    <mergeCell ref="O20:P21"/>
    <mergeCell ref="J27:L27"/>
    <mergeCell ref="M27:N27"/>
    <mergeCell ref="A30:G30"/>
    <mergeCell ref="A31:B31"/>
    <mergeCell ref="A19:E19"/>
    <mergeCell ref="J19:N19"/>
    <mergeCell ref="O19:P19"/>
    <mergeCell ref="BN1:BP1"/>
    <mergeCell ref="A16:N16"/>
    <mergeCell ref="O16:P17"/>
    <mergeCell ref="A17:N17"/>
    <mergeCell ref="O18:P18"/>
  </mergeCells>
  <conditionalFormatting sqref="M35">
    <cfRule type="cellIs" dxfId="1" priority="2" operator="lessThan">
      <formula>45</formula>
    </cfRule>
  </conditionalFormatting>
  <conditionalFormatting sqref="M36">
    <cfRule type="cellIs" dxfId="0" priority="1" operator="greaterThan">
      <formula>-10</formula>
    </cfRule>
  </conditionalFormatting>
  <pageMargins left="0.7" right="0.7" top="0.75" bottom="0.75" header="0.3" footer="0.3"/>
  <pageSetup orientation="portrait" verticalDpi="598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825AF1-F236-48ED-8DBF-098DB8B6C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1036936-26BD-4382-8346-E389CA02C52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252610-121E-48D4-AE42-513CECC3C4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47</vt:i4>
      </vt:variant>
    </vt:vector>
  </HeadingPairs>
  <TitlesOfParts>
    <vt:vector size="50" baseType="lpstr">
      <vt:lpstr>Power Loss</vt:lpstr>
      <vt:lpstr>Efficiency Summary</vt:lpstr>
      <vt:lpstr>Compensation</vt:lpstr>
      <vt:lpstr>_Cap1</vt:lpstr>
      <vt:lpstr>_cap2</vt:lpstr>
      <vt:lpstr>_Cfb1</vt:lpstr>
      <vt:lpstr>_Cfb2</vt:lpstr>
      <vt:lpstr>_res1</vt:lpstr>
      <vt:lpstr>_Rfb1</vt:lpstr>
      <vt:lpstr>_Rfb2</vt:lpstr>
      <vt:lpstr>Cap</vt:lpstr>
      <vt:lpstr>D</vt:lpstr>
      <vt:lpstr>DCR</vt:lpstr>
      <vt:lpstr>Dmax</vt:lpstr>
      <vt:lpstr>EA_BW</vt:lpstr>
      <vt:lpstr>EA_DC</vt:lpstr>
      <vt:lpstr>Efficiency</vt:lpstr>
      <vt:lpstr>ESR</vt:lpstr>
      <vt:lpstr>F0</vt:lpstr>
      <vt:lpstr>Fc</vt:lpstr>
      <vt:lpstr>Fm</vt:lpstr>
      <vt:lpstr>Fs</vt:lpstr>
      <vt:lpstr>Fstart</vt:lpstr>
      <vt:lpstr>Fstep</vt:lpstr>
      <vt:lpstr>Fstop</vt:lpstr>
      <vt:lpstr>Gdo</vt:lpstr>
      <vt:lpstr>Il_rms</vt:lpstr>
      <vt:lpstr>Imax</vt:lpstr>
      <vt:lpstr>Imin</vt:lpstr>
      <vt:lpstr>Iout</vt:lpstr>
      <vt:lpstr>Irip</vt:lpstr>
      <vt:lpstr>Iu_rms</vt:lpstr>
      <vt:lpstr>LIR</vt:lpstr>
      <vt:lpstr>Lout</vt:lpstr>
      <vt:lpstr>ncap</vt:lpstr>
      <vt:lpstr>Q</vt:lpstr>
      <vt:lpstr>Qn</vt:lpstr>
      <vt:lpstr>Roerr</vt:lpstr>
      <vt:lpstr>Ron_l</vt:lpstr>
      <vt:lpstr>Ron_u</vt:lpstr>
      <vt:lpstr>Rout</vt:lpstr>
      <vt:lpstr>RT</vt:lpstr>
      <vt:lpstr>Se</vt:lpstr>
      <vt:lpstr>Sn</vt:lpstr>
      <vt:lpstr>Step</vt:lpstr>
      <vt:lpstr>Tloss</vt:lpstr>
      <vt:lpstr>VFB</vt:lpstr>
      <vt:lpstr>Vin</vt:lpstr>
      <vt:lpstr>Vout</vt:lpstr>
      <vt:lpstr>wn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 Bui/Analog/DAL</dc:creator>
  <cp:lastModifiedBy>Diodes</cp:lastModifiedBy>
  <dcterms:created xsi:type="dcterms:W3CDTF">2017-12-13T19:19:46Z</dcterms:created>
  <dcterms:modified xsi:type="dcterms:W3CDTF">2022-11-16T18:13:22Z</dcterms:modified>
</cp:coreProperties>
</file>