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90" windowWidth="1246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<sst xmlns="http://schemas.openxmlformats.org/spreadsheetml/2006/main" count="140" uniqueCount="123">
  <si>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Application Specifications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</si>
  <si>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</si>
  <si>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</si>
  <si>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</si>
  <si>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</si>
  <si>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</si>
  <si>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</si>
  <si>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</si>
  <si>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</si>
  <si>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t>Duty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</si>
  <si>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</si>
  <si>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</si>
  <si>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</si>
  <si>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</si>
  <si>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</si>
  <si>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</si>
  <si>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</si>
  <si>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</si>
  <si>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t>Desired Switching Frequency</t>
  </si>
  <si>
    <t>Desired Inductance</t>
  </si>
  <si>
    <t>uH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</si>
  <si>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</si>
  <si>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</si>
  <si>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</si>
  <si>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</si>
  <si>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Input Voltage:</t>
  </si>
  <si>
    <t>V</t>
  </si>
  <si>
    <t>mA</t>
  </si>
  <si>
    <t>Strings</t>
  </si>
  <si>
    <t>Output Current Setting:</t>
  </si>
  <si>
    <t>Ω</t>
  </si>
  <si>
    <t>L</t>
  </si>
  <si>
    <t>uH</t>
  </si>
  <si>
    <t>mA</t>
  </si>
  <si>
    <t>Inductance:</t>
  </si>
  <si>
    <t>Peak Inductor Current</t>
  </si>
  <si>
    <t>Switching Frequency</t>
  </si>
  <si>
    <t>kHz</t>
  </si>
  <si>
    <t>Final Spec</t>
  </si>
  <si>
    <t>Nominal Intput Voltage</t>
  </si>
  <si>
    <t>Device Speification</t>
  </si>
  <si>
    <t>Recommended Maximum Switching Frequency: 1MHz</t>
  </si>
  <si>
    <t>Desired LED Output Current per Channel</t>
  </si>
  <si>
    <t xml:space="preserve">Desired Total LED Output Current </t>
  </si>
  <si>
    <t>Current Sense Resistor</t>
  </si>
  <si>
    <t>Actual Total LED Output Current</t>
  </si>
  <si>
    <t>Input Range: 4.5V~40V</t>
  </si>
  <si>
    <t>mA</t>
  </si>
  <si>
    <t>Input Current</t>
  </si>
  <si>
    <t xml:space="preserve"> Inductor Selection &amp; Switching Frequency Calculation &amp; Input Current Calculation</t>
  </si>
  <si>
    <t>Input Current</t>
  </si>
  <si>
    <t>mA</t>
  </si>
  <si>
    <t>Free-wheel Diode Forward Drop</t>
  </si>
  <si>
    <t>V</t>
  </si>
  <si>
    <t xml:space="preserve"> Power Dissipation Distribution</t>
  </si>
  <si>
    <r>
      <t>O</t>
    </r>
    <r>
      <rPr>
        <sz val="11"/>
        <color indexed="8"/>
        <rFont val="Arial"/>
        <family val="2"/>
      </rPr>
      <t>utput Power</t>
    </r>
  </si>
  <si>
    <t>W</t>
  </si>
  <si>
    <r>
      <t>C</t>
    </r>
    <r>
      <rPr>
        <sz val="11"/>
        <color indexed="8"/>
        <rFont val="Arial"/>
        <family val="2"/>
      </rPr>
      <t>hip Supply Current</t>
    </r>
  </si>
  <si>
    <r>
      <t>u</t>
    </r>
    <r>
      <rPr>
        <sz val="11"/>
        <color indexed="8"/>
        <rFont val="Arial"/>
        <family val="2"/>
      </rPr>
      <t>A</t>
    </r>
  </si>
  <si>
    <r>
      <t>C</t>
    </r>
    <r>
      <rPr>
        <sz val="11"/>
        <color indexed="8"/>
        <rFont val="Arial"/>
        <family val="2"/>
      </rPr>
      <t>hip Power Dissipation</t>
    </r>
  </si>
  <si>
    <t>mW</t>
  </si>
  <si>
    <r>
      <t>P</t>
    </r>
    <r>
      <rPr>
        <vertAlign val="subscript"/>
        <sz val="11"/>
        <color indexed="8"/>
        <rFont val="Arial"/>
        <family val="2"/>
      </rPr>
      <t>COND</t>
    </r>
  </si>
  <si>
    <t xml:space="preserve">Conduction Power Loss in Switch </t>
  </si>
  <si>
    <r>
      <t>P</t>
    </r>
    <r>
      <rPr>
        <vertAlign val="subscript"/>
        <sz val="11"/>
        <color indexed="8"/>
        <rFont val="Arial"/>
        <family val="2"/>
      </rPr>
      <t>SW</t>
    </r>
  </si>
  <si>
    <r>
      <t>S</t>
    </r>
    <r>
      <rPr>
        <sz val="11"/>
        <color indexed="8"/>
        <rFont val="Arial"/>
        <family val="2"/>
      </rPr>
      <t>witching Power Loss in Switch</t>
    </r>
  </si>
  <si>
    <r>
      <t>P</t>
    </r>
    <r>
      <rPr>
        <vertAlign val="subscript"/>
        <sz val="11"/>
        <color indexed="8"/>
        <rFont val="Arial"/>
        <family val="2"/>
      </rPr>
      <t>D</t>
    </r>
  </si>
  <si>
    <r>
      <t>P</t>
    </r>
    <r>
      <rPr>
        <sz val="11"/>
        <color indexed="8"/>
        <rFont val="Arial"/>
        <family val="2"/>
      </rPr>
      <t>ower Loss in Diode</t>
    </r>
  </si>
  <si>
    <r>
      <t>P</t>
    </r>
    <r>
      <rPr>
        <vertAlign val="subscript"/>
        <sz val="11"/>
        <color indexed="8"/>
        <rFont val="Arial"/>
        <family val="2"/>
      </rPr>
      <t>IND</t>
    </r>
  </si>
  <si>
    <t>Power Loss in Inductor</t>
  </si>
  <si>
    <r>
      <t>P</t>
    </r>
    <r>
      <rPr>
        <vertAlign val="subscript"/>
        <sz val="11"/>
        <color indexed="8"/>
        <rFont val="Arial"/>
        <family val="2"/>
      </rPr>
      <t>Rsense</t>
    </r>
  </si>
  <si>
    <t>Power Loss in Current Sense Resistor</t>
  </si>
  <si>
    <r>
      <t>m</t>
    </r>
    <r>
      <rPr>
        <sz val="11"/>
        <color indexed="8"/>
        <rFont val="Arial"/>
        <family val="2"/>
      </rPr>
      <t>W</t>
    </r>
  </si>
  <si>
    <t>Theoretical Efficiency</t>
  </si>
  <si>
    <t>Eff</t>
  </si>
  <si>
    <t>%</t>
  </si>
  <si>
    <r>
      <t>n</t>
    </r>
    <r>
      <rPr>
        <sz val="11"/>
        <color indexed="8"/>
        <rFont val="Arial"/>
        <family val="2"/>
      </rPr>
      <t>s</t>
    </r>
  </si>
  <si>
    <t>Tf</t>
  </si>
  <si>
    <t>Theoretical Efficiency</t>
  </si>
  <si>
    <t>Eff</t>
  </si>
  <si>
    <t>%</t>
  </si>
  <si>
    <t>Channels</t>
  </si>
  <si>
    <r>
      <t>V</t>
    </r>
    <r>
      <rPr>
        <vertAlign val="subscript"/>
        <sz val="11"/>
        <color indexed="8"/>
        <rFont val="Arial"/>
        <family val="2"/>
      </rPr>
      <t>F</t>
    </r>
  </si>
  <si>
    <r>
      <t>V</t>
    </r>
    <r>
      <rPr>
        <vertAlign val="subscript"/>
        <sz val="11"/>
        <color indexed="8"/>
        <rFont val="Arial"/>
        <family val="2"/>
      </rPr>
      <t>LED</t>
    </r>
  </si>
  <si>
    <r>
      <t>I</t>
    </r>
    <r>
      <rPr>
        <vertAlign val="subscript"/>
        <sz val="11"/>
        <color indexed="8"/>
        <rFont val="Arial"/>
        <family val="2"/>
      </rPr>
      <t>LED_Channel</t>
    </r>
  </si>
  <si>
    <t>Nominal Forward Voltage of LED String</t>
  </si>
  <si>
    <r>
      <t>I</t>
    </r>
    <r>
      <rPr>
        <vertAlign val="subscript"/>
        <sz val="11"/>
        <color indexed="8"/>
        <rFont val="Arial"/>
        <family val="2"/>
      </rPr>
      <t>LED_actual</t>
    </r>
  </si>
  <si>
    <r>
      <t>f</t>
    </r>
    <r>
      <rPr>
        <vertAlign val="subscript"/>
        <sz val="11"/>
        <color indexed="8"/>
        <rFont val="Arial"/>
        <family val="2"/>
      </rPr>
      <t>SW_actual</t>
    </r>
  </si>
  <si>
    <r>
      <t>V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</si>
  <si>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sense</t>
    </r>
  </si>
  <si>
    <r>
      <t>R</t>
    </r>
    <r>
      <rPr>
        <vertAlign val="subscript"/>
        <sz val="11"/>
        <color indexed="8"/>
        <rFont val="Arial"/>
        <family val="2"/>
      </rPr>
      <t>L</t>
    </r>
  </si>
  <si>
    <r>
      <t>f</t>
    </r>
    <r>
      <rPr>
        <vertAlign val="subscript"/>
        <sz val="11"/>
        <color indexed="8"/>
        <rFont val="Arial"/>
        <family val="2"/>
      </rPr>
      <t>SW_desire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</si>
  <si>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vertAlign val="subscript"/>
        <sz val="11"/>
        <color indexed="8"/>
        <rFont val="Arial"/>
        <family val="2"/>
      </rPr>
      <t>L</t>
    </r>
  </si>
  <si>
    <r>
      <t>I</t>
    </r>
    <r>
      <rPr>
        <vertAlign val="subscript"/>
        <sz val="11"/>
        <color indexed="8"/>
        <rFont val="Arial"/>
        <family val="2"/>
      </rPr>
      <t>L_peak</t>
    </r>
  </si>
  <si>
    <r>
      <t>I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</si>
  <si>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dson</t>
    </r>
  </si>
  <si>
    <t>Tr</t>
  </si>
  <si>
    <r>
      <t>I</t>
    </r>
    <r>
      <rPr>
        <vertAlign val="subscript"/>
        <sz val="11"/>
        <color indexed="8"/>
        <rFont val="Arial"/>
        <family val="2"/>
      </rPr>
      <t>CC</t>
    </r>
  </si>
  <si>
    <r>
      <t>P</t>
    </r>
    <r>
      <rPr>
        <vertAlign val="subscript"/>
        <sz val="11"/>
        <color indexed="8"/>
        <rFont val="Arial"/>
        <family val="2"/>
      </rPr>
      <t>out</t>
    </r>
  </si>
  <si>
    <r>
      <t>P</t>
    </r>
    <r>
      <rPr>
        <vertAlign val="subscript"/>
        <sz val="11"/>
        <color indexed="8"/>
        <rFont val="Arial"/>
        <family val="2"/>
      </rPr>
      <t>CHIP</t>
    </r>
  </si>
  <si>
    <r>
      <t>V</t>
    </r>
    <r>
      <rPr>
        <vertAlign val="subscript"/>
        <sz val="11"/>
        <color indexed="9"/>
        <rFont val="Arial Unicode MS"/>
        <family val="2"/>
      </rPr>
      <t>IN</t>
    </r>
  </si>
  <si>
    <r>
      <t>V</t>
    </r>
    <r>
      <rPr>
        <vertAlign val="subscript"/>
        <sz val="11"/>
        <color indexed="9"/>
        <rFont val="Arial"/>
        <family val="2"/>
      </rPr>
      <t>LED</t>
    </r>
  </si>
  <si>
    <t>Forward Voltage of LED String</t>
  </si>
  <si>
    <r>
      <t>I</t>
    </r>
    <r>
      <rPr>
        <vertAlign val="subscript"/>
        <sz val="11"/>
        <color indexed="9"/>
        <rFont val="Arial"/>
        <family val="2"/>
      </rPr>
      <t>LED_Channel</t>
    </r>
  </si>
  <si>
    <r>
      <t>I</t>
    </r>
    <r>
      <rPr>
        <vertAlign val="subscript"/>
        <sz val="11"/>
        <color indexed="9"/>
        <rFont val="Arial"/>
        <family val="2"/>
      </rPr>
      <t>LED_actual</t>
    </r>
  </si>
  <si>
    <r>
      <t>R</t>
    </r>
    <r>
      <rPr>
        <vertAlign val="subscript"/>
        <sz val="11"/>
        <color indexed="9"/>
        <rFont val="Arial"/>
        <family val="2"/>
      </rPr>
      <t>sense</t>
    </r>
  </si>
  <si>
    <r>
      <t>I</t>
    </r>
    <r>
      <rPr>
        <vertAlign val="subscript"/>
        <sz val="11"/>
        <color indexed="9"/>
        <rFont val="Arial"/>
        <family val="2"/>
      </rPr>
      <t>L_peak</t>
    </r>
  </si>
  <si>
    <r>
      <t>f</t>
    </r>
    <r>
      <rPr>
        <vertAlign val="subscript"/>
        <sz val="11"/>
        <color indexed="9"/>
        <rFont val="Arial"/>
        <family val="2"/>
      </rPr>
      <t>sw</t>
    </r>
  </si>
  <si>
    <r>
      <t>I</t>
    </r>
    <r>
      <rPr>
        <vertAlign val="subscript"/>
        <sz val="9"/>
        <color indexed="9"/>
        <rFont val="Arial"/>
        <family val="2"/>
      </rPr>
      <t>IN</t>
    </r>
  </si>
  <si>
    <r>
      <t>I</t>
    </r>
    <r>
      <rPr>
        <vertAlign val="subscript"/>
        <sz val="11"/>
        <color indexed="8"/>
        <rFont val="Arial"/>
        <family val="2"/>
      </rPr>
      <t>LED_desir</t>
    </r>
  </si>
  <si>
    <t>AL8860 Design Calculator</t>
  </si>
  <si>
    <t>AL8860 Specifications</t>
  </si>
  <si>
    <t>SW Switch Turn-on Reisistence</t>
  </si>
  <si>
    <t>SW Voltage Rise Time</t>
  </si>
  <si>
    <t>SW Voltage Fall Time</t>
  </si>
  <si>
    <t>Recommended Maximum Output Current: 1000mA for SOT25; 1500mA for MSOP-8EP</t>
  </si>
  <si>
    <t>Inductor Resistance</t>
  </si>
  <si>
    <t>SW Switching Turn-off delay</t>
  </si>
  <si>
    <r>
      <t>t</t>
    </r>
    <r>
      <rPr>
        <vertAlign val="subscript"/>
        <sz val="11"/>
        <color indexed="8"/>
        <rFont val="Arial"/>
        <family val="2"/>
      </rPr>
      <t>off_delay</t>
    </r>
  </si>
  <si>
    <r>
      <t>t</t>
    </r>
    <r>
      <rPr>
        <vertAlign val="subscript"/>
        <sz val="11"/>
        <color indexed="8"/>
        <rFont val="Arial"/>
        <family val="2"/>
      </rPr>
      <t>on_delay</t>
    </r>
  </si>
  <si>
    <t>SW Switching Turn-on delay</t>
  </si>
  <si>
    <t>Operation Diagram for Inductor Current</t>
  </si>
  <si>
    <r>
      <t>L</t>
    </r>
    <r>
      <rPr>
        <vertAlign val="subscript"/>
        <sz val="11"/>
        <color indexed="8"/>
        <rFont val="Arial"/>
        <family val="2"/>
      </rPr>
      <t>_actual</t>
    </r>
  </si>
  <si>
    <r>
      <t>L</t>
    </r>
    <r>
      <rPr>
        <vertAlign val="subscript"/>
        <sz val="11"/>
        <color indexed="8"/>
        <rFont val="Arial"/>
        <family val="2"/>
      </rPr>
      <t>_desire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</si>
</sst>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1"/>
      <color indexed="9"/>
      <name val="Arial Unicode MS"/>
      <family val="2"/>
    </font>
    <font>
      <vertAlign val="subscript"/>
      <sz val="11"/>
      <color indexed="9"/>
      <name val="Arial"/>
      <family val="2"/>
    </font>
    <font>
      <vertAlign val="subscript"/>
      <sz val="9"/>
      <color indexed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36" borderId="0" xfId="0" applyFont="1" applyFill="1" applyAlignment="1" applyProtection="1">
      <alignment/>
      <protection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76" fontId="14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4" fillId="35" borderId="10" xfId="0" applyNumberFormat="1" applyFont="1" applyFill="1" applyBorder="1" applyAlignment="1">
      <alignment vertical="center"/>
    </xf>
    <xf numFmtId="186" fontId="14" fillId="35" borderId="10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41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vertical="center"/>
    </xf>
    <xf numFmtId="0" fontId="6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177" fontId="6" fillId="43" borderId="10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vertical="center"/>
    </xf>
    <xf numFmtId="177" fontId="14" fillId="35" borderId="10" xfId="0" applyNumberFormat="1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>
      <alignment vertical="center"/>
    </xf>
    <xf numFmtId="0" fontId="6" fillId="39" borderId="10" xfId="0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6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75"/>
  <sheetViews>
    <sheetView tabSelected="1" zoomScalePageLayoutView="0" workbookViewId="0" topLeftCell="A34">
      <selection activeCell="C38" sqref="C38"/>
    </sheetView>
  </sheetViews>
  <sheetFormatPr defaultColWidth="9.140625" defaultRowHeight="15"/>
  <cols>
    <col min="1" max="1" width="28.28125" style="0" customWidth="1"/>
    <col min="2" max="2" width="34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0.28125" style="0" customWidth="1"/>
    <col min="9" max="9" width="10.42187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109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110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L15" s="1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G18" s="1"/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G19" s="1"/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F20" s="77" t="s">
        <v>120</v>
      </c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7"/>
      <c r="F21" s="14"/>
      <c r="G21" s="1"/>
      <c r="J21" s="14"/>
      <c r="L21" s="1"/>
      <c r="M21" s="1"/>
      <c r="N21" s="1"/>
      <c r="O21" s="1"/>
      <c r="P21" s="1"/>
      <c r="R21" s="1"/>
      <c r="S21" s="1"/>
      <c r="T21" s="1"/>
      <c r="U21" s="1"/>
    </row>
    <row r="22" spans="1:21" ht="16.5">
      <c r="A22" s="1"/>
      <c r="B22" s="1"/>
      <c r="C22" s="1"/>
      <c r="D22" s="1"/>
      <c r="E22" s="15"/>
      <c r="F22" s="14" t="s">
        <v>7</v>
      </c>
      <c r="G22" s="1"/>
      <c r="J22" s="14"/>
      <c r="L22" s="1"/>
      <c r="M22" s="1"/>
      <c r="N22" s="1"/>
      <c r="O22" s="1"/>
      <c r="P22" s="1"/>
      <c r="R22" s="1"/>
      <c r="S22" s="1"/>
      <c r="T22" s="1"/>
      <c r="U22" s="1"/>
    </row>
    <row r="23" spans="1:21" ht="16.5">
      <c r="A23" s="1"/>
      <c r="B23" s="1"/>
      <c r="C23" s="1"/>
      <c r="D23" s="1"/>
      <c r="E23" s="48"/>
      <c r="F23" s="14" t="s">
        <v>40</v>
      </c>
      <c r="G23" s="1"/>
      <c r="J23" s="14"/>
      <c r="L23" s="1"/>
      <c r="M23" s="1"/>
      <c r="N23" s="1"/>
      <c r="O23" s="1"/>
      <c r="P23" s="1"/>
      <c r="R23" s="1"/>
      <c r="S23" s="1"/>
      <c r="T23" s="1"/>
      <c r="U23" s="1"/>
    </row>
    <row r="24" spans="1:21" ht="16.5">
      <c r="A24" s="1"/>
      <c r="B24" s="1"/>
      <c r="C24" s="1"/>
      <c r="D24" s="1"/>
      <c r="E24" s="16"/>
      <c r="F24" s="14" t="s">
        <v>6</v>
      </c>
      <c r="G24" s="1"/>
      <c r="J24" s="14"/>
      <c r="L24" s="1"/>
      <c r="M24" s="1"/>
      <c r="N24" s="1"/>
      <c r="O24" s="1"/>
      <c r="P24" s="1"/>
      <c r="R24" s="1"/>
      <c r="S24" s="1"/>
      <c r="T24" s="1"/>
      <c r="U24" s="1"/>
    </row>
    <row r="25" spans="1:21" ht="16.5">
      <c r="A25" s="1"/>
      <c r="B25" s="1"/>
      <c r="C25" s="1"/>
      <c r="D25" s="1"/>
      <c r="G25" s="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6" t="s">
        <v>0</v>
      </c>
      <c r="B26" s="50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18.75">
      <c r="A27" s="22" t="s">
        <v>87</v>
      </c>
      <c r="B27" s="32" t="s">
        <v>39</v>
      </c>
      <c r="C27" s="27">
        <v>20</v>
      </c>
      <c r="D27" s="19" t="s">
        <v>1</v>
      </c>
      <c r="E27" s="46" t="s">
        <v>46</v>
      </c>
      <c r="F27" s="47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8.75">
      <c r="A28" s="22" t="s">
        <v>82</v>
      </c>
      <c r="B28" s="32" t="s">
        <v>84</v>
      </c>
      <c r="C28" s="27">
        <v>3.3</v>
      </c>
      <c r="D28" s="19" t="s">
        <v>1</v>
      </c>
      <c r="E28" s="25"/>
      <c r="F28" s="26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8.75">
      <c r="A29" s="55" t="s">
        <v>83</v>
      </c>
      <c r="B29" s="56" t="s">
        <v>42</v>
      </c>
      <c r="C29" s="27">
        <v>1000</v>
      </c>
      <c r="D29" s="19" t="s">
        <v>3</v>
      </c>
      <c r="E29" s="25"/>
      <c r="F29" s="25"/>
      <c r="G29" s="11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</row>
    <row r="30" spans="1:21" ht="16.5">
      <c r="A30" s="55" t="s">
        <v>10</v>
      </c>
      <c r="B30" s="56" t="s">
        <v>13</v>
      </c>
      <c r="C30" s="27">
        <v>1</v>
      </c>
      <c r="D30" s="23" t="s">
        <v>11</v>
      </c>
      <c r="E30" s="25"/>
      <c r="F30" s="25"/>
      <c r="G30" s="11"/>
      <c r="H30" s="12"/>
      <c r="I30" s="54"/>
      <c r="J30" s="54"/>
      <c r="K30" s="54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8.75">
      <c r="A31" s="55" t="s">
        <v>81</v>
      </c>
      <c r="B31" s="56" t="s">
        <v>52</v>
      </c>
      <c r="C31" s="27">
        <v>0.4</v>
      </c>
      <c r="D31" s="23" t="s">
        <v>53</v>
      </c>
      <c r="E31" s="25"/>
      <c r="F31" s="25"/>
      <c r="G31" s="11"/>
      <c r="H31" s="12"/>
      <c r="I31" s="54"/>
      <c r="J31" s="54"/>
      <c r="K31" s="54"/>
      <c r="L31" s="10"/>
      <c r="M31" s="10"/>
      <c r="N31" s="10"/>
      <c r="O31" s="10"/>
      <c r="P31" s="10"/>
      <c r="Q31" s="10"/>
      <c r="R31" s="10"/>
      <c r="S31" s="10"/>
      <c r="T31" s="10"/>
      <c r="U31" s="1"/>
    </row>
    <row r="32" spans="1:21" ht="18.75">
      <c r="A32" s="21" t="s">
        <v>108</v>
      </c>
      <c r="B32" s="31" t="s">
        <v>43</v>
      </c>
      <c r="C32" s="34">
        <f>C29*C30</f>
        <v>1000</v>
      </c>
      <c r="D32" s="23" t="s">
        <v>16</v>
      </c>
      <c r="E32" s="52" t="s">
        <v>114</v>
      </c>
      <c r="F32" s="51"/>
      <c r="G32" s="53"/>
      <c r="H32" s="53"/>
      <c r="I32" s="53"/>
      <c r="J32" s="53"/>
      <c r="K32" s="54"/>
      <c r="L32" s="54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1" t="s">
        <v>9</v>
      </c>
      <c r="B33" s="31" t="s">
        <v>15</v>
      </c>
      <c r="C33" s="33">
        <f>(C28+C31+C32*(C39+C35)/1000)/(C27+C31-C32*C49/1000)*100</f>
        <v>19.801980198019802</v>
      </c>
      <c r="D33" s="19" t="s">
        <v>2</v>
      </c>
      <c r="E33" s="25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0" t="s">
        <v>17</v>
      </c>
      <c r="B34" s="20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"/>
    </row>
    <row r="35" spans="1:21" ht="18.75">
      <c r="A35" s="21" t="s">
        <v>88</v>
      </c>
      <c r="B35" s="21" t="s">
        <v>44</v>
      </c>
      <c r="C35" s="28">
        <f>100/C32</f>
        <v>0.1</v>
      </c>
      <c r="D35" s="19" t="s">
        <v>5</v>
      </c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5.75" customHeight="1">
      <c r="A36" s="6" t="s">
        <v>49</v>
      </c>
      <c r="B36" s="6"/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</row>
    <row r="37" spans="1:21" s="76" customFormat="1" ht="21" customHeight="1">
      <c r="A37" s="72" t="s">
        <v>117</v>
      </c>
      <c r="B37" s="72" t="s">
        <v>116</v>
      </c>
      <c r="C37" s="73">
        <v>100</v>
      </c>
      <c r="D37" s="23" t="s">
        <v>75</v>
      </c>
      <c r="E37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75"/>
    </row>
    <row r="38" spans="1:21" s="76" customFormat="1" ht="15.75" customHeight="1">
      <c r="A38" s="72" t="s">
        <v>118</v>
      </c>
      <c r="B38" s="72" t="s">
        <v>119</v>
      </c>
      <c r="C38" s="73">
        <v>50</v>
      </c>
      <c r="D38" s="23" t="s">
        <v>75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75"/>
    </row>
    <row r="39" spans="1:21" ht="18.75">
      <c r="A39" s="22" t="s">
        <v>89</v>
      </c>
      <c r="B39" s="22" t="s">
        <v>115</v>
      </c>
      <c r="C39" s="71">
        <v>0.2</v>
      </c>
      <c r="D39" s="19" t="s">
        <v>5</v>
      </c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8.75">
      <c r="A40" s="22" t="s">
        <v>90</v>
      </c>
      <c r="B40" s="22" t="s">
        <v>18</v>
      </c>
      <c r="C40" s="43">
        <v>400</v>
      </c>
      <c r="D40" s="23" t="s">
        <v>8</v>
      </c>
      <c r="E40" s="46" t="s">
        <v>41</v>
      </c>
      <c r="F40" s="47"/>
      <c r="G40" s="49"/>
      <c r="H40" s="4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8.75">
      <c r="A41" s="21" t="s">
        <v>122</v>
      </c>
      <c r="B41" s="21" t="s">
        <v>19</v>
      </c>
      <c r="C41" s="35">
        <f>((C27-C28-C32*(C39+C49+C35)/1000)*(C28+C31+C32*(C39+C35)/1000)/(C27+C31-C32*C49/1000)/C40/1000-(C27-C28-C32*(C35+C39+C49)/1000)*C37/1000000000-(C28+C31+C32*(C35+C39)/1000)*C38/1000000000)/C32/40*100000000000</f>
        <v>15.49950495049505</v>
      </c>
      <c r="D41" s="23" t="s">
        <v>20</v>
      </c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8.75">
      <c r="A42" s="66" t="s">
        <v>121</v>
      </c>
      <c r="B42" s="22" t="s">
        <v>24</v>
      </c>
      <c r="C42" s="71">
        <v>15</v>
      </c>
      <c r="D42" s="19" t="s">
        <v>4</v>
      </c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8.75">
      <c r="A43" s="21" t="s">
        <v>86</v>
      </c>
      <c r="B43" s="21" t="s">
        <v>21</v>
      </c>
      <c r="C43" s="29">
        <f>(C27-C28-C32*(C39+C49+C35)/1000)*(C28+C31+C32*(C39+C35)/1000)/(C27+C31-C32*C49/1000)/C42/C44*1000000</f>
        <v>410.2200501380062</v>
      </c>
      <c r="D43" s="23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8.75">
      <c r="A44" s="62" t="s">
        <v>91</v>
      </c>
      <c r="B44" s="21" t="s">
        <v>22</v>
      </c>
      <c r="C44" s="29">
        <f>(C27-C28-C32*(C35+C39+C49)/1000)*C37/C42+(C28+C31+C32*(C35+C39)/1000)*C38/C42+C32*40%</f>
        <v>521.3333333333334</v>
      </c>
      <c r="D44" s="23" t="s">
        <v>3</v>
      </c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8.75">
      <c r="A45" s="21" t="s">
        <v>92</v>
      </c>
      <c r="B45" s="21" t="s">
        <v>23</v>
      </c>
      <c r="C45" s="30">
        <f>120/C35+(C27-C28-C32*(C35+C39+C49)/1000)*C37/C42</f>
        <v>1308</v>
      </c>
      <c r="D45" s="23" t="s">
        <v>3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8.75">
      <c r="A46" s="21" t="s">
        <v>85</v>
      </c>
      <c r="B46" s="21" t="s">
        <v>45</v>
      </c>
      <c r="C46" s="29">
        <f>C45-C44/2</f>
        <v>1047.3333333333333</v>
      </c>
      <c r="D46" s="23" t="s">
        <v>3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8.75">
      <c r="A47" s="21" t="s">
        <v>93</v>
      </c>
      <c r="B47" s="21" t="s">
        <v>48</v>
      </c>
      <c r="C47" s="29">
        <f>C46*C33/100</f>
        <v>207.39273927392736</v>
      </c>
      <c r="D47" s="23" t="s">
        <v>47</v>
      </c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5.75" customHeight="1">
      <c r="A48" s="6" t="s">
        <v>54</v>
      </c>
      <c r="B48" s="6"/>
      <c r="C48" s="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"/>
    </row>
    <row r="49" spans="1:241" s="61" customFormat="1" ht="15.75" customHeight="1">
      <c r="A49" s="72" t="s">
        <v>94</v>
      </c>
      <c r="B49" s="72" t="s">
        <v>111</v>
      </c>
      <c r="C49" s="73">
        <v>0.2</v>
      </c>
      <c r="D49" s="19" t="s">
        <v>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</row>
    <row r="50" spans="1:241" s="61" customFormat="1" ht="15.75" customHeight="1">
      <c r="A50" s="72" t="s">
        <v>95</v>
      </c>
      <c r="B50" s="72" t="s">
        <v>112</v>
      </c>
      <c r="C50" s="73">
        <v>15</v>
      </c>
      <c r="D50" s="23" t="s">
        <v>75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</row>
    <row r="51" spans="1:241" s="61" customFormat="1" ht="15.75" customHeight="1">
      <c r="A51" s="72" t="s">
        <v>76</v>
      </c>
      <c r="B51" s="72" t="s">
        <v>113</v>
      </c>
      <c r="C51" s="73">
        <v>35</v>
      </c>
      <c r="D51" s="23" t="s">
        <v>75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</row>
    <row r="52" spans="1:241" s="61" customFormat="1" ht="18.75">
      <c r="A52" s="72" t="s">
        <v>96</v>
      </c>
      <c r="B52" s="72" t="s">
        <v>57</v>
      </c>
      <c r="C52" s="74">
        <v>900</v>
      </c>
      <c r="D52" s="64" t="s">
        <v>58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</row>
    <row r="53" spans="1:241" s="61" customFormat="1" ht="18.75">
      <c r="A53" s="62" t="s">
        <v>97</v>
      </c>
      <c r="B53" s="62" t="s">
        <v>55</v>
      </c>
      <c r="C53" s="65">
        <f>C28*C46/1000</f>
        <v>3.4561999999999995</v>
      </c>
      <c r="D53" s="64" t="s">
        <v>56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9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</row>
    <row r="54" spans="1:241" s="61" customFormat="1" ht="18.75">
      <c r="A54" s="62" t="s">
        <v>98</v>
      </c>
      <c r="B54" s="62" t="s">
        <v>59</v>
      </c>
      <c r="C54" s="63">
        <f>C27*C52/1000</f>
        <v>18</v>
      </c>
      <c r="D54" s="64" t="s">
        <v>60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</row>
    <row r="55" spans="1:241" s="61" customFormat="1" ht="18.75">
      <c r="A55" s="62" t="s">
        <v>61</v>
      </c>
      <c r="B55" s="62" t="s">
        <v>62</v>
      </c>
      <c r="C55" s="65">
        <f>(C46*C46+C44*C44/12)*C33/100*C49/1000</f>
        <v>44.33885735240191</v>
      </c>
      <c r="D55" s="64" t="s">
        <v>71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</row>
    <row r="56" spans="1:241" s="61" customFormat="1" ht="18.75">
      <c r="A56" s="62" t="s">
        <v>63</v>
      </c>
      <c r="B56" s="62" t="s">
        <v>64</v>
      </c>
      <c r="C56" s="65">
        <f>(C27*(C45-C44)*C51/6+C27*C45*C50/6)*C43*10^(-6)</f>
        <v>64.47747588058037</v>
      </c>
      <c r="D56" s="64" t="s">
        <v>71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</row>
    <row r="57" spans="1:241" s="61" customFormat="1" ht="18.75">
      <c r="A57" s="62" t="s">
        <v>65</v>
      </c>
      <c r="B57" s="62" t="s">
        <v>66</v>
      </c>
      <c r="C57" s="65">
        <f>C31*SQRT((1-C33/100)*(C46*C46+C44*C44/12))</f>
        <v>379.0222919852897</v>
      </c>
      <c r="D57" s="64" t="s">
        <v>71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</row>
    <row r="58" spans="1:241" s="61" customFormat="1" ht="18.75">
      <c r="A58" s="62" t="s">
        <v>67</v>
      </c>
      <c r="B58" s="62" t="s">
        <v>68</v>
      </c>
      <c r="C58" s="65">
        <f>(C46*C46+C44*C44/12)*C39/1000</f>
        <v>223.91122962962964</v>
      </c>
      <c r="D58" s="64" t="s">
        <v>71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</row>
    <row r="59" spans="1:241" s="61" customFormat="1" ht="18.75">
      <c r="A59" s="62" t="s">
        <v>69</v>
      </c>
      <c r="B59" s="62" t="s">
        <v>70</v>
      </c>
      <c r="C59" s="65">
        <f>(C46*C46+C44*C44/12)*C35/1000</f>
        <v>111.95561481481482</v>
      </c>
      <c r="D59" s="64" t="s">
        <v>71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</row>
    <row r="60" spans="1:21" s="61" customFormat="1" ht="16.5">
      <c r="A60" s="62" t="s">
        <v>73</v>
      </c>
      <c r="B60" s="62" t="s">
        <v>72</v>
      </c>
      <c r="C60" s="65">
        <f>C53/(C53*1000+C54+C55+C56+C57+C58+C59)*10^5</f>
        <v>80.41591478444568</v>
      </c>
      <c r="D60" s="64" t="s">
        <v>74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1:21" ht="17.25">
      <c r="A61" s="36" t="s">
        <v>38</v>
      </c>
      <c r="B61" s="36"/>
      <c r="C61" s="37"/>
      <c r="D61" s="3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"/>
    </row>
    <row r="62" spans="1:21" ht="18">
      <c r="A62" s="38" t="s">
        <v>25</v>
      </c>
      <c r="B62" s="38" t="s">
        <v>99</v>
      </c>
      <c r="C62" s="39">
        <f>C27</f>
        <v>20</v>
      </c>
      <c r="D62" s="40" t="s">
        <v>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</row>
    <row r="63" spans="1:21" ht="18.75">
      <c r="A63" s="41" t="s">
        <v>101</v>
      </c>
      <c r="B63" s="41" t="s">
        <v>100</v>
      </c>
      <c r="C63" s="39">
        <f>C28</f>
        <v>3.3</v>
      </c>
      <c r="D63" s="40" t="s">
        <v>26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"/>
    </row>
    <row r="64" spans="1:21" ht="18.75">
      <c r="A64" s="41" t="s">
        <v>14</v>
      </c>
      <c r="B64" s="41" t="s">
        <v>102</v>
      </c>
      <c r="C64" s="39">
        <f>C29</f>
        <v>1000</v>
      </c>
      <c r="D64" s="40" t="s">
        <v>27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</row>
    <row r="65" spans="1:21" ht="16.5">
      <c r="A65" s="41" t="s">
        <v>12</v>
      </c>
      <c r="B65" s="57" t="s">
        <v>80</v>
      </c>
      <c r="C65" s="39">
        <f>C30</f>
        <v>1</v>
      </c>
      <c r="D65" s="40" t="s">
        <v>28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8.75">
      <c r="A66" s="41" t="s">
        <v>45</v>
      </c>
      <c r="B66" s="41" t="s">
        <v>103</v>
      </c>
      <c r="C66" s="45">
        <f>C46</f>
        <v>1047.3333333333333</v>
      </c>
      <c r="D66" s="40" t="s">
        <v>3</v>
      </c>
      <c r="E66" s="10"/>
      <c r="F66" s="10"/>
      <c r="G66" s="24"/>
      <c r="H66" s="2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8.75">
      <c r="A67" s="41" t="s">
        <v>29</v>
      </c>
      <c r="B67" s="57" t="s">
        <v>104</v>
      </c>
      <c r="C67" s="44">
        <f>C35</f>
        <v>0.1</v>
      </c>
      <c r="D67" s="40" t="s">
        <v>30</v>
      </c>
      <c r="E67" s="10"/>
      <c r="F67" s="10"/>
      <c r="G67" s="24"/>
      <c r="H67" s="2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6.5">
      <c r="A68" s="41" t="s">
        <v>34</v>
      </c>
      <c r="B68" s="41" t="s">
        <v>31</v>
      </c>
      <c r="C68" s="42">
        <f>C42</f>
        <v>15</v>
      </c>
      <c r="D68" s="40" t="s">
        <v>32</v>
      </c>
      <c r="E68" s="10"/>
      <c r="F68" s="10"/>
      <c r="G68" s="24"/>
      <c r="H68" s="2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8.75">
      <c r="A69" s="41" t="s">
        <v>35</v>
      </c>
      <c r="B69" s="41" t="s">
        <v>105</v>
      </c>
      <c r="C69" s="45">
        <f>C45</f>
        <v>1308</v>
      </c>
      <c r="D69" s="40" t="s">
        <v>33</v>
      </c>
      <c r="E69" s="10"/>
      <c r="F69" s="10"/>
      <c r="G69" s="24"/>
      <c r="H69" s="2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8.75">
      <c r="A70" s="41" t="s">
        <v>36</v>
      </c>
      <c r="B70" s="41" t="s">
        <v>106</v>
      </c>
      <c r="C70" s="45">
        <f>C43</f>
        <v>410.2200501380062</v>
      </c>
      <c r="D70" s="40" t="s">
        <v>37</v>
      </c>
      <c r="E70" s="10"/>
      <c r="F70" s="10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6.5">
      <c r="A71" s="58" t="s">
        <v>50</v>
      </c>
      <c r="B71" s="41" t="s">
        <v>107</v>
      </c>
      <c r="C71" s="45">
        <f>C47</f>
        <v>207.39273927392736</v>
      </c>
      <c r="D71" s="40" t="s">
        <v>51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58" t="s">
        <v>77</v>
      </c>
      <c r="B72" s="58" t="s">
        <v>78</v>
      </c>
      <c r="C72" s="67">
        <f>C60</f>
        <v>80.41591478444568</v>
      </c>
      <c r="D72" s="40" t="s">
        <v>79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"/>
    </row>
    <row r="114" spans="1:21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</row>
    <row r="115" spans="1:21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"/>
    </row>
    <row r="116" spans="1:21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"/>
    </row>
    <row r="117" spans="1:21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"/>
    </row>
    <row r="118" spans="1:21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"/>
    </row>
    <row r="119" spans="1:21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</row>
    <row r="120" spans="1:21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"/>
    </row>
    <row r="121" spans="1:21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"/>
    </row>
    <row r="122" spans="1:21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</row>
    <row r="123" spans="1:21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</row>
    <row r="124" spans="1:21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"/>
    </row>
    <row r="125" spans="1:21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</row>
    <row r="126" spans="1:21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</row>
    <row r="127" spans="1:21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</row>
    <row r="128" spans="1:21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</row>
    <row r="129" spans="1:21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</row>
    <row r="130" spans="1:21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</row>
    <row r="131" spans="1:21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</row>
    <row r="132" spans="1:21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</row>
    <row r="133" spans="1:21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</sheetData>
  <sheetProtection password="D5B9" sheet="1" objects="1" scenarios="1" selectLockedCells="1"/>
  <conditionalFormatting sqref="I28:I31">
    <cfRule type="containsText" priority="9" dxfId="5" operator="containsText" text="Out">
      <formula>NOT(ISERROR(SEARCH("Out",I28)))</formula>
    </cfRule>
    <cfRule type="containsText" priority="10" dxfId="6" operator="containsText" text="In">
      <formula>NOT(ISERROR(SEARCH("In",I28)))</formula>
    </cfRule>
  </conditionalFormatting>
  <conditionalFormatting sqref="I27">
    <cfRule type="containsText" priority="11" dxfId="5" operator="containsText" text="Out">
      <formula>NOT(ISERROR(SEARCH("Out",I27)))</formula>
    </cfRule>
    <cfRule type="containsText" priority="12" dxfId="4" operator="containsText" text="In">
      <formula>NOT(ISERROR(SEARCH("In",I27)))</formula>
    </cfRule>
    <cfRule type="containsText" priority="13" dxfId="3" operator="containsText" text="In">
      <formula>NOT(ISERROR(SEARCH("In",I27)))</formula>
    </cfRule>
    <cfRule type="containsText" priority="14" dxfId="2" operator="containsText" text="Out Range">
      <formula>NOT(ISERROR(SEARCH("Out Range",I27)))</formula>
    </cfRule>
    <cfRule type="containsText" priority="15" dxfId="1" operator="containsText" text="In Range">
      <formula>NOT(ISERROR(SEARCH("In Range",I27)))</formula>
    </cfRule>
    <cfRule type="cellIs" priority="16" dxfId="0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C70" formula="1"/>
  </ignoredErrors>
  <legacyDrawing r:id="rId3"/>
  <oleObjects>
    <oleObject progId="Visio.Drawing.11" shapeId="43310307" r:id="rId1"/>
    <oleObject progId="Visio.Drawing.11" shapeId="433198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2021-04-23T06:28:57Z</dcterms:modified>
  <cp:category/>
  <cp:version/>
  <cp:contentType/>
  <cp:contentStatus/>
</cp:coreProperties>
</file>